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035b171423349ba" /></Relationships>
</file>

<file path=xl/workbook.xml><?xml version="1.0" encoding="utf-8"?>
<x:workbook xmlns:x="http://schemas.openxmlformats.org/spreadsheetml/2006/main">
  <x:sheets>
    <x:sheet xmlns:r="http://schemas.openxmlformats.org/officeDocument/2006/relationships" name="Dashboard" sheetId="1" r:id="R3fc46b339dbe4952"/>
    <x:sheet xmlns:r="http://schemas.openxmlformats.org/officeDocument/2006/relationships" name="Controls" sheetId="2" r:id="Rdad5a658460845ab"/>
    <x:sheet xmlns:r="http://schemas.openxmlformats.org/officeDocument/2006/relationships" name="Deal cash flow" sheetId="3" r:id="R456db92e4b7c4e63"/>
    <x:sheet xmlns:r="http://schemas.openxmlformats.org/officeDocument/2006/relationships" name="Financing" sheetId="4" r:id="R5e5cf8f0cbae4449"/>
    <x:sheet xmlns:r="http://schemas.openxmlformats.org/officeDocument/2006/relationships" name="Capacity" sheetId="5" r:id="Raee0c7a9c6664c5c"/>
    <x:sheet xmlns:r="http://schemas.openxmlformats.org/officeDocument/2006/relationships" name="Alternatives" sheetId="6" r:id="R1bcc64aa0b6147c6"/>
    <x:sheet xmlns:r="http://schemas.openxmlformats.org/officeDocument/2006/relationships" name="Guide" sheetId="7" r:id="R0696e48f9e1748c0"/>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quot;–&quot;"/>
    <x:numFmt numFmtId="201" formatCode="0.0%;(0.0%);&quot;–&quot;"/>
    <x:numFmt numFmtId="202" formatCode="0.00&quot;x&quot;"/>
    <x:numFmt numFmtId="203" formatCode="mm/dd/yy"/>
    <x:numFmt numFmtId="204" formatCode="0.000x"/>
    <x:numFmt numFmtId="205" formatCode="0.00;(0.00);0.00"/>
    <x:numFmt numFmtId="206" formatCode="0"/>
  </x:numFmts>
  <x:fonts count="8">
    <x:font>
      <x:sz val="11"/>
      <x:name val="Carlito"/>
    </x:font>
    <x:font>
      <x:sz val="10"/>
      <x:color rgb="FF1A1A18"/>
      <x:name val="Arial"/>
    </x:font>
    <x:font>
      <x:b/>
      <x:sz val="16"/>
      <x:color rgb="FF1A1A18"/>
      <x:name val="Arial"/>
    </x:font>
    <x:font>
      <x:sz val="10"/>
      <x:color rgb="FF00804A"/>
      <x:name val="Arial"/>
    </x:font>
    <x:font>
      <x:i/>
      <x:sz val="10"/>
      <x:color rgb="FF5C5C54"/>
      <x:name val="Arial"/>
    </x:font>
    <x:font>
      <x:sz val="10"/>
      <x:color rgb="FF0000FF"/>
      <x:name val="Arial"/>
    </x:font>
    <x:font>
      <x:sz val="10"/>
      <x:color rgb="FF000000"/>
      <x:name val="Arial"/>
    </x:font>
    <x:font>
      <x:b/>
      <x:sz val="10"/>
      <x:color rgb="FFFFFFFF"/>
      <x:name val="Arial"/>
    </x:font>
  </x:fonts>
  <x:fills count="6">
    <x:fill>
      <x:patternFill patternType="none"/>
    </x:fill>
    <x:fill>
      <x:patternFill patternType="gray125"/>
    </x:fill>
    <x:fill>
      <x:patternFill patternType="solid">
        <x:fgColor rgb="FFFFF3CD"/>
      </x:patternFill>
    </x:fill>
    <x:fill>
      <x:patternFill patternType="solid">
        <x:fgColor rgb="FF173D34"/>
      </x:patternFill>
    </x:fill>
    <x:fill>
      <x:patternFill patternType="solid">
        <x:fgColor rgb="FFEAF1ED"/>
      </x:patternFill>
    </x:fill>
    <x:fill>
      <x:patternFill patternType="solid">
        <x:fgColor rgb="FFFFFFFF"/>
      </x:patternFill>
    </x:fill>
  </x:fills>
  <x:borders count="2">
    <x:border/>
    <x:border>
      <x:left style="dotted">
        <x:color rgb="FF173D34"/>
      </x:left>
      <x:right style="dotted">
        <x:color rgb="FF173D34"/>
      </x:right>
      <x:top style="dotted">
        <x:color rgb="FF173D34"/>
      </x:top>
      <x:bottom style="dotted">
        <x:color rgb="FF173D34"/>
      </x:bottom>
    </x:border>
  </x:borders>
  <x:cellStyleXfs count="1">
    <x:xf numFmtId="0" fontId="0" fillId="0" borderId="0"/>
  </x:cellStyleXfs>
  <x:cellXfs count="5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200" fontId="1" fillId="2" borderId="0" xfId="0" applyNumberFormat="1" applyFont="1" applyFill="1" applyBorder="1" applyAlignment="1">
      <x:alignment vertical="center"/>
    </x:xf>
    <x:xf numFmtId="200" fontId="5" fillId="2" borderId="0" xfId="0" applyNumberFormat="1" applyFont="1" applyFill="1" applyBorder="1" applyAlignment="1">
      <x:alignment vertical="center"/>
    </x:xf>
    <x:xf numFmtId="200" fontId="6" fillId="2" borderId="0" xfId="0" applyNumberFormat="1" applyFont="1" applyFill="1" applyBorder="1" applyAlignment="1">
      <x:alignment vertical="center"/>
    </x:xf>
    <x:xf numFmtId="201" fontId="5" fillId="2" borderId="0" xfId="0" applyNumberFormat="1" applyFont="1" applyFill="1" applyBorder="1" applyAlignment="1">
      <x:alignment vertical="center"/>
    </x:xf>
    <x:xf numFmtId="202" fontId="5" fillId="2" borderId="0" xfId="0" applyNumberFormat="1" applyFont="1" applyFill="1" applyBorder="1" applyAlignment="1">
      <x:alignment vertical="center"/>
    </x:xf>
    <x:xf numFmtId="203" fontId="1" fillId="2" borderId="0" xfId="0" applyNumberFormat="1" applyFont="1" applyFill="1" applyBorder="1" applyAlignment="1">
      <x:alignment vertical="center"/>
    </x:xf>
    <x:xf numFmtId="200" fontId="6"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xf numFmtId="200" fontId="5" fillId="2" borderId="0" xfId="0" applyNumberFormat="1" applyFont="1" applyFill="1" applyBorder="1" applyAlignment="1">
      <x:alignment vertical="center" wrapText="1"/>
    </x:xf>
    <x:xf numFmtId="200" fontId="6" fillId="2" borderId="0" xfId="0" applyNumberFormat="1" applyFont="1" applyFill="1" applyBorder="1" applyAlignment="1">
      <x:alignment vertical="center" wrapText="1"/>
    </x:xf>
    <x:xf numFmtId="201" fontId="5" fillId="2" borderId="0" xfId="0" applyNumberFormat="1" applyFont="1" applyFill="1" applyBorder="1" applyAlignment="1">
      <x:alignment vertical="center" wrapText="1"/>
    </x:xf>
    <x:xf numFmtId="202" fontId="5" fillId="2" borderId="0" xfId="0" applyNumberFormat="1" applyFont="1" applyFill="1" applyBorder="1" applyAlignment="1">
      <x:alignment vertical="center" wrapText="1"/>
    </x:xf>
    <x:xf numFmtId="200" fontId="6"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7" fillId="3" borderId="0" xfId="0" applyNumberFormat="1" applyFont="1" applyFill="1" applyBorder="1" applyAlignment="1">
      <x:alignment vertical="center"/>
    </x:xf>
    <x:xf numFmtId="200" fontId="7" fillId="3"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200" fontId="7" fillId="3" borderId="0" xfId="0" applyNumberFormat="1" applyFont="1" applyFill="1" applyBorder="1" applyAlignment="1">
      <x:alignment vertical="center" wrapText="1"/>
    </x:xf>
    <x:xf numFmtId="0" fontId="7" fillId="3" borderId="0" xfId="0" applyNumberFormat="1" applyFont="1" applyFill="1" applyBorder="1" applyAlignment="1">
      <x:alignment horizontal="center" vertical="center" wrapText="1"/>
    </x:xf>
    <x:xf numFmtId="200" fontId="7"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6" fillId="4" borderId="0" xfId="0" applyNumberFormat="1" applyFont="1" applyFill="1" applyBorder="1" applyAlignment="1">
      <x:alignment vertical="center"/>
    </x:xf>
    <x:xf numFmtId="201" fontId="6" fillId="4" borderId="0" xfId="0" applyNumberFormat="1" applyFont="1" applyFill="1" applyBorder="1" applyAlignment="1">
      <x:alignment vertical="center"/>
    </x:xf>
    <x:xf numFmtId="202" fontId="6" fillId="4" borderId="0" xfId="0" applyNumberFormat="1" applyFont="1" applyFill="1" applyBorder="1" applyAlignment="1">
      <x:alignment vertical="center"/>
    </x:xf>
    <x:xf numFmtId="200" fontId="3" fillId="0" borderId="0" xfId="0" applyNumberFormat="1" applyFont="1" applyFill="1" applyBorder="1" applyAlignment="1">
      <x:alignment vertical="center"/>
    </x:xf>
    <x:xf numFmtId="201" fontId="3" fillId="0" borderId="0" xfId="0" applyNumberFormat="1" applyFont="1" applyFill="1" applyBorder="1" applyAlignment="1">
      <x:alignment vertical="center"/>
    </x:xf>
    <x:xf numFmtId="204" fontId="3"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200" fontId="3" fillId="0" borderId="0" xfId="0" applyNumberFormat="1" applyFont="1" applyFill="1" applyBorder="1" applyAlignment="1">
      <x:alignment vertical="center" wrapText="1"/>
    </x:xf>
    <x:xf numFmtId="201" fontId="3" fillId="0" borderId="0" xfId="0" applyNumberFormat="1" applyFont="1" applyFill="1" applyBorder="1" applyAlignment="1">
      <x:alignment vertical="center" wrapText="1"/>
    </x:xf>
    <x:xf numFmtId="205" fontId="3" fillId="0" borderId="0" xfId="0" applyNumberFormat="1" applyFont="1" applyFill="1" applyBorder="1" applyAlignment="1">
      <x:alignment vertical="center"/>
    </x:xf>
    <x:xf numFmtId="202"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6"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1" fontId="1" fillId="0" borderId="0" xfId="0" applyNumberFormat="1" applyFont="1" applyFill="1" applyBorder="1" applyAlignment="1">
      <x:alignment vertical="center" wrapText="1"/>
    </x:xf>
    <x:xf numFmtId="200" fontId="6" fillId="5" borderId="0" xfId="0" applyNumberFormat="1" applyFont="1" applyFill="1" applyBorder="1" applyAlignment="1">
      <x:alignment vertical="center" wrapText="1"/>
    </x:xf>
    <x:xf numFmtId="206" fontId="5" fillId="2" borderId="0" xfId="0" applyNumberFormat="1" applyFont="1" applyFill="1" applyBorder="1" applyAlignment="1">
      <x:alignment vertical="center" wrapText="1"/>
    </x:xf>
    <x:xf numFmtId="200" fontId="3" fillId="0" borderId="0" xfId="0" applyNumberFormat="1" applyFont="1" applyFill="1" applyBorder="1" applyAlignment="1">
      <x:alignment horizontal="center" vertical="center" wrapText="1"/>
    </x:xf>
  </x:cellXfs>
  <x:cellStyles count="1">
    <x:cellStyle name="Normal" xfId="0"/>
  </x:cellStyles>
  <x:dxfs count="57">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59a1e6591274690" /><Relationship Type="http://schemas.openxmlformats.org/officeDocument/2006/relationships/theme" Target="/xl/theme/theme1.xml" Id="Rbc62d4e32f234e7e" /><Relationship Type="http://schemas.openxmlformats.org/officeDocument/2006/relationships/sharedStrings" Target="/xl/sharedStrings.xml" Id="Ra23b2a28ad30494f" /><Relationship Type="http://schemas.openxmlformats.org/officeDocument/2006/relationships/worksheet" Target="/xl/worksheets/sheet1.xml" Id="R3fc46b339dbe4952" /><Relationship Type="http://schemas.openxmlformats.org/officeDocument/2006/relationships/worksheet" Target="/xl/worksheets/sheet2.xml" Id="Rdad5a658460845ab" /><Relationship Type="http://schemas.openxmlformats.org/officeDocument/2006/relationships/worksheet" Target="/xl/worksheets/sheet3.xml" Id="R456db92e4b7c4e63" /><Relationship Type="http://schemas.openxmlformats.org/officeDocument/2006/relationships/worksheet" Target="/xl/worksheets/sheet4.xml" Id="R5e5cf8f0cbae4449" /><Relationship Type="http://schemas.openxmlformats.org/officeDocument/2006/relationships/worksheet" Target="/xl/worksheets/sheet5.xml" Id="Raee0c7a9c6664c5c" /><Relationship Type="http://schemas.openxmlformats.org/officeDocument/2006/relationships/worksheet" Target="/xl/worksheets/sheet6.xml" Id="R1bcc64aa0b6147c6" /><Relationship Type="http://schemas.openxmlformats.org/officeDocument/2006/relationships/worksheet" Target="/xl/worksheets/sheet7.xml" Id="R0696e48f9e1748c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D34"/>
  </x:sheetPr>
  <x:sheetViews>
    <x:sheetView showGridLines="0" workbookViewId="0"/>
  </x:sheetViews>
  <x:sheetFormatPr defaultRowHeight="15"/>
  <x:cols>
    <x:col min="1" max="1" width="2.5" hidden="0" customWidth="1"/>
    <x:col min="2" max="2" width="2.5" hidden="0" customWidth="1"/>
    <x:col min="3" max="3" width="48" hidden="0" customWidth="1"/>
    <x:col min="4" max="4" width="32" hidden="0" customWidth="1"/>
    <x:col min="5" max="5" width="3" hidden="0" customWidth="1"/>
    <x:col min="6" max="6" width="44" hidden="0" customWidth="1"/>
    <x:col min="7" max="7" width="30"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Capital Allocation &amp; Deal Affordability</x:v>
      </x:c>
      <x:c r="D2" s="2"/>
      <x:c r="E2" s="2"/>
      <x:c r="F2" s="2"/>
      <x:c r="G2" s="2"/>
      <x:c r="H2" s="2"/>
      <x:c r="I2" s="2"/>
      <x:c r="J2" s="2"/>
      <x:c r="K2" s="2"/>
      <x:c r="L2" s="2"/>
      <x:c r="M2" s="2"/>
    </x:row>
    <x:row r="3" ht="25" customHeight="1">
      <x:c r="A3" s="2"/>
      <x:c r="B3" s="2"/>
      <x:c r="C3" s="7" t="str">
        <x:v>MIKE YE · Strategic finance · v1.0 · USD millions</x:v>
      </x:c>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Price decision (enterprise value)</x:v>
      </x:c>
      <x:c r="D6" s="31" t="str">
        <x:v>Active result</x:v>
      </x:c>
      <x:c r="E6" s="6"/>
      <x:c r="F6" s="31" t="str">
        <x:v>Funding and returns</x:v>
      </x:c>
      <x:c r="G6" s="31" t="str">
        <x:v>Active result</x:v>
      </x:c>
      <x:c r="H6" s="6"/>
      <x:c r="I6" s="6"/>
      <x:c r="J6" s="2"/>
      <x:c r="K6" s="2"/>
      <x:c r="L6" s="2"/>
      <x:c r="M6" s="2"/>
    </x:row>
    <x:row r="7" ht="39" customHeight="1">
      <x:c r="A7" s="2"/>
      <x:c r="B7" s="2"/>
      <x:c r="C7" s="16" t="str">
        <x:v>Hard walk-away enterprise value</x:v>
      </x:c>
      <x:c r="D7" s="41" t="str">
        <x:f>'Capacity'!D58</x:f>
        <x:v>Select Downside</x:v>
      </x:c>
      <x:c r="E7" s="41"/>
      <x:c r="F7" s="41" t="str">
        <x:v>Proposed funding and liquidity</x:v>
      </x:c>
      <x:c r="G7" s="41" t="str">
        <x:f>'Capacity'!D50</x:f>
        <x:v>Breach: proposed funding</x:v>
      </x:c>
      <x:c r="H7" s="6"/>
      <x:c r="I7" s="6"/>
      <x:c r="J7" s="2"/>
      <x:c r="K7" s="2"/>
      <x:c r="L7" s="2"/>
      <x:c r="M7" s="2"/>
    </x:row>
    <x:row r="8" ht="39" customHeight="1">
      <x:c r="A8" s="2"/>
      <x:c r="B8" s="2"/>
      <x:c r="C8" s="16" t="str">
        <x:v>Proposed price versus hard walk-away</x:v>
      </x:c>
      <x:c r="D8" s="41" t="str">
        <x:f>'Capacity'!D59</x:f>
        <x:v>Open hard walk-away</x:v>
      </x:c>
      <x:c r="E8" s="41"/>
      <x:c r="F8" s="41" t="str">
        <x:v>Available buyer cash</x:v>
      </x:c>
      <x:c r="G8" s="41" t="n">
        <x:f>IF(NOT(ISNUMBER('Capacity'!D36)),"Open inputs",'Capacity'!D36)</x:f>
        <x:v>15</x:v>
      </x:c>
      <x:c r="H8" s="6"/>
      <x:c r="I8" s="6"/>
      <x:c r="J8" s="2"/>
      <x:c r="K8" s="2"/>
      <x:c r="L8" s="2"/>
      <x:c r="M8" s="2"/>
    </x:row>
    <x:row r="9" ht="39" customHeight="1">
      <x:c r="A9" s="2"/>
      <x:c r="B9" s="2"/>
      <x:c r="C9" s="16" t="str">
        <x:v>Proposed enterprise value</x:v>
      </x:c>
      <x:c r="D9" s="41" t="n">
        <x:f>'Controls'!D18</x:f>
        <x:v>35</x:v>
      </x:c>
      <x:c r="E9" s="41"/>
      <x:c r="F9" s="41" t="str">
        <x:v>Committed new-debt capacity</x:v>
      </x:c>
      <x:c r="G9" s="41" t="n">
        <x:f>IF(NOT(ISNUMBER('Capacity'!D35)),"Open inputs",'Capacity'!D35)</x:f>
        <x:v>0</x:v>
      </x:c>
      <x:c r="H9" s="6"/>
      <x:c r="I9" s="6"/>
      <x:c r="J9" s="2"/>
      <x:c r="K9" s="2"/>
      <x:c r="L9" s="2"/>
      <x:c r="M9" s="2"/>
    </x:row>
    <x:row r="10" ht="39" customHeight="1">
      <x:c r="A10" s="2"/>
      <x:c r="B10" s="2"/>
      <x:c r="C10" s="16" t="str">
        <x:v>Affordable EV at selected financing</x:v>
      </x:c>
      <x:c r="D10" s="41" t="str">
        <x:f>IF(NOT(ISNUMBER('Capacity'!D37)),"Open inputs",'Capacity'!D37)</x:f>
        <x:v>Open inputs</x:v>
      </x:c>
      <x:c r="E10" s="41"/>
      <x:c r="F10" s="41" t="str">
        <x:v>New investor ownership dilution</x:v>
      </x:c>
      <x:c r="G10" s="51" t="n">
        <x:f>IF(NOT(ISNUMBER('Financing'!I19)),"Open inputs",'Financing'!I19)</x:f>
        <x:v>0.058823529411764705</x:v>
      </x:c>
      <x:c r="H10" s="6"/>
      <x:c r="I10" s="6"/>
      <x:c r="J10" s="2"/>
      <x:c r="K10" s="2"/>
      <x:c r="L10" s="2"/>
      <x:c r="M10" s="2"/>
    </x:row>
    <x:row r="11" ht="39" customHeight="1">
      <x:c r="A11" s="2"/>
      <x:c r="B11" s="2"/>
      <x:c r="C11" s="16" t="str">
        <x:v>Standalone return-supported price</x:v>
      </x:c>
      <x:c r="D11" s="41" t="n">
        <x:f>IF(NOT(ISNUMBER('Capacity'!D52)),"Open inputs",'Capacity'!D52)</x:f>
        <x:v>35.511775708659414</x:v>
      </x:c>
      <x:c r="E11" s="41"/>
      <x:c r="F11" s="41" t="str">
        <x:v>Buy economic NPV</x:v>
      </x:c>
      <x:c r="G11" s="41" t="n">
        <x:f>IF(NOT(ISNUMBER('Deal cash flow'!D38)),"Open inputs",'Deal cash flow'!D38)</x:f>
        <x:v>4.8268362950824795</x:v>
      </x:c>
      <x:c r="H11" s="6"/>
      <x:c r="I11" s="6"/>
      <x:c r="J11" s="2"/>
      <x:c r="K11" s="2"/>
      <x:c r="L11" s="2"/>
      <x:c r="M11" s="2"/>
    </x:row>
    <x:row r="12" ht="39" customHeight="1">
      <x:c r="A12" s="2"/>
      <x:c r="B12" s="2"/>
      <x:c r="C12" s="16" t="str">
        <x:v>Allowed buyer synergy premium</x:v>
      </x:c>
      <x:c r="D12" s="41" t="n">
        <x:f>IF(NOT(ISNUMBER('Capacity'!D53)),"Open inputs",'Capacity'!D53)</x:f>
        <x:v>2.1575302932115337</x:v>
      </x:c>
      <x:c r="E12" s="41"/>
      <x:c r="F12" s="41" t="str">
        <x:v>Unlevered project IRR</x:v>
      </x:c>
      <x:c r="G12" s="51" t="n">
        <x:f>'Deal cash flow'!D39</x:f>
        <x:v>0.18194726185258775</x:v>
      </x:c>
      <x:c r="H12" s="6"/>
      <x:c r="I12" s="6"/>
      <x:c r="J12" s="2"/>
      <x:c r="K12" s="2"/>
      <x:c r="L12" s="2"/>
      <x:c r="M12" s="2"/>
    </x:row>
    <x:row r="13" ht="39" customHeight="1">
      <x:c r="A13" s="2"/>
      <x:c r="B13" s="2"/>
      <x:c r="C13" s="16" t="str">
        <x:v>Opportunity cost of nonbuy choice</x:v>
      </x:c>
      <x:c r="D13" s="41" t="str">
        <x:f>IF(NOT(ISNUMBER('Capacity'!D55)),"Open comparison",'Capacity'!D55)</x:f>
        <x:v>Open comparison</x:v>
      </x:c>
      <x:c r="E13" s="41"/>
      <x:c r="F13" s="41" t="str">
        <x:v>Operating payback (whole years)</x:v>
      </x:c>
      <x:c r="G13" s="41" t="str">
        <x:f>'Deal cash flow'!D40</x:f>
        <x:v>Not in 5 years</x:v>
      </x:c>
      <x:c r="H13" s="6"/>
      <x:c r="I13" s="6"/>
      <x:c r="J13" s="2"/>
      <x:c r="K13" s="2"/>
      <x:c r="L13" s="2"/>
      <x:c r="M13" s="2"/>
    </x:row>
    <x:row r="14" ht="39" customHeight="1">
      <x:c r="A14" s="2"/>
      <x:c r="B14" s="2"/>
      <x:c r="C14" s="16" t="str">
        <x:v>Opportunity-adjusted return price</x:v>
      </x:c>
      <x:c r="D14" s="41" t="str">
        <x:f>IF(NOT(ISNUMBER('Capacity'!D56)),"Open comparison",'Capacity'!D56)</x:f>
        <x:v>Open comparison</x:v>
      </x:c>
      <x:c r="E14" s="41"/>
      <x:c r="F14" s="41" t="str">
        <x:v>Year 1 standalone ROIC</x:v>
      </x:c>
      <x:c r="G14" s="51" t="n">
        <x:f>'Deal cash flow'!D41</x:f>
        <x:v>0.09868421052631579</x:v>
      </x:c>
      <x:c r="H14" s="6"/>
      <x:c r="I14" s="6"/>
      <x:c r="J14" s="2"/>
      <x:c r="K14" s="2"/>
      <x:c r="L14" s="2"/>
      <x:c r="M14" s="2"/>
    </x:row>
    <x:row r="15" ht="39" customHeight="1">
      <x:c r="A15" s="2"/>
      <x:c r="B15" s="2"/>
      <x:c r="C15" s="16" t="str">
        <x:v>Strategic price ceiling</x:v>
      </x:c>
      <x:c r="D15" s="41" t="n">
        <x:f>'Controls'!D22</x:f>
        <x:v>38</x:v>
      </x:c>
      <x:c r="E15" s="41"/>
      <x:c r="F15" s="41" t="str">
        <x:v>Minimum annual cash reserve headroom</x:v>
      </x:c>
      <x:c r="G15" s="41" t="n">
        <x:f>IF(COUNT('Capacity'!D46:I46)&lt;&gt;6,"Open inputs",MIN('Capacity'!D46:I46))</x:f>
        <x:v>-6</x:v>
      </x:c>
      <x:c r="H15" s="6"/>
      <x:c r="I15" s="6"/>
      <x:c r="J15" s="2"/>
      <x:c r="K15" s="2"/>
      <x:c r="L15" s="2"/>
      <x:c r="M15" s="2"/>
    </x:row>
    <x:row r="16" ht="39" customHeight="1">
      <x:c r="A16" s="2"/>
      <x:c r="B16" s="2"/>
      <x:c r="C16" s="16" t="str">
        <x:v>Active-case price ceiling</x:v>
      </x:c>
      <x:c r="D16" s="41" t="str">
        <x:f>IF(NOT(ISNUMBER('Capacity'!D57)),"Open inputs / comparison",'Capacity'!D57)</x:f>
        <x:v>Open inputs / comparison</x:v>
      </x:c>
      <x:c r="E16" s="41"/>
      <x:c r="F16" s="41" t="str">
        <x:v>Buy NPV advantage over best nonbuy</x:v>
      </x:c>
      <x:c r="G16" s="41" t="str">
        <x:f>IF(NOT(ISNUMBER('Alternatives'!D22)),"Open comparison",'Alternatives'!D22)</x:f>
        <x:v>Open comparison</x:v>
      </x:c>
      <x:c r="H16" s="6"/>
      <x:c r="I16" s="6"/>
      <x:c r="J16" s="2"/>
      <x:c r="K16" s="2"/>
      <x:c r="L16" s="2"/>
      <x:c r="M16" s="2"/>
    </x:row>
    <x:row r="17" ht="25" customHeight="1">
      <x:c r="A17" s="2"/>
      <x:c r="B17" s="2"/>
      <x:c r="C17" s="2"/>
      <x:c r="D17" s="6"/>
      <x:c r="E17" s="6"/>
      <x:c r="F17" s="6"/>
      <x:c r="G17" s="6"/>
      <x:c r="H17" s="6"/>
      <x:c r="I17" s="6"/>
      <x:c r="J17" s="2"/>
      <x:c r="K17" s="2"/>
      <x:c r="L17" s="2"/>
      <x:c r="M17" s="2"/>
    </x:row>
    <x:row r="18" ht="25" customHeight="1">
      <x:c r="A18" s="2"/>
      <x:c r="B18" s="2"/>
      <x:c r="C18" s="2"/>
      <x:c r="D18" s="6"/>
      <x:c r="E18" s="6"/>
      <x:c r="F18" s="6"/>
      <x:c r="G18" s="6"/>
      <x:c r="H18" s="6"/>
      <x:c r="I18" s="6"/>
      <x:c r="J18" s="2"/>
      <x:c r="K18" s="2"/>
      <x:c r="L18" s="2"/>
      <x:c r="M18" s="2"/>
    </x:row>
    <x:row r="19" ht="38" customHeight="1">
      <x:c r="A19" s="2"/>
      <x:c r="B19" s="2"/>
      <x:c r="C19" s="30" t="str">
        <x:v>Decision record</x:v>
      </x:c>
      <x:c r="D19" s="31" t="str">
        <x:v>Current entry</x:v>
      </x:c>
      <x:c r="E19" s="31" t="str"/>
      <x:c r="F19" s="31" t="str">
        <x:v>Next action</x:v>
      </x:c>
      <x:c r="G19" s="31" t="str"/>
      <x:c r="H19" s="6"/>
      <x:c r="I19" s="6"/>
      <x:c r="J19" s="2"/>
      <x:c r="K19" s="2"/>
      <x:c r="L19" s="2"/>
      <x:c r="M19" s="2"/>
    </x:row>
    <x:row r="20" ht="55" customHeight="1">
      <x:c r="A20" s="2"/>
      <x:c r="B20" s="2"/>
      <x:c r="C20" s="16" t="str">
        <x:v>Required business outcome</x:v>
      </x:c>
      <x:c r="D20" s="41" t="str">
        <x:f>'Controls'!D32</x:f>
        <x:v>Assumption: acquire distribution capability</x:v>
      </x:c>
      <x:c r="E20" s="41"/>
      <x:c r="F20" s="41" t="str">
        <x:v>Current action</x:v>
      </x:c>
      <x:c r="G20" s="41" t="str">
        <x:f>'Controls'!D33</x:f>
        <x:v>Replace assumptions, confirm funding and run Downside</x:v>
      </x:c>
      <x:c r="H20" s="6"/>
      <x:c r="I20" s="6"/>
      <x:c r="J20" s="2"/>
      <x:c r="K20" s="2"/>
      <x:c r="L20" s="2"/>
      <x:c r="M20" s="2"/>
    </x:row>
    <x:row r="21" ht="55" customHeight="1">
      <x:c r="A21" s="2"/>
      <x:c r="B21" s="2"/>
      <x:c r="C21" s="16" t="str">
        <x:v>Decision owner</x:v>
      </x:c>
      <x:c r="D21" s="41" t="str">
        <x:f>IF('Controls'!D11="","Open owner",'Controls'!D11)</x:f>
        <x:v>Open owner</x:v>
      </x:c>
      <x:c r="E21" s="41"/>
      <x:c r="F21" s="41"/>
      <x:c r="G21" s="41"/>
      <x:c r="H21" s="6"/>
      <x:c r="I21" s="6"/>
      <x:c r="J21" s="2"/>
      <x:c r="K21" s="2"/>
      <x:c r="L21" s="2"/>
      <x:c r="M21" s="2"/>
    </x:row>
    <x:row r="22" ht="55" customHeight="1">
      <x:c r="A22" s="2"/>
      <x:c r="B22" s="2"/>
      <x:c r="C22" s="16" t="str">
        <x:v>Evidence label</x:v>
      </x:c>
      <x:c r="D22" s="41" t="str">
        <x:f>'Controls'!D12</x:f>
        <x:v>Assumption</x:v>
      </x:c>
      <x:c r="E22" s="41"/>
      <x:c r="F22" s="41"/>
      <x:c r="G22" s="41"/>
      <x:c r="H22" s="6"/>
      <x:c r="I22" s="6"/>
      <x:c r="J22" s="2"/>
      <x:c r="K22" s="2"/>
      <x:c r="L22" s="2"/>
      <x:c r="M22" s="2"/>
    </x:row>
    <x:row r="23" ht="25" customHeight="1">
      <x:c r="A23" s="2"/>
      <x:c r="B23" s="2"/>
      <x:c r="C23" s="2"/>
      <x:c r="D23" s="6"/>
      <x:c r="E23" s="6"/>
      <x:c r="F23" s="6"/>
      <x:c r="G23" s="6"/>
      <x:c r="H23" s="6"/>
      <x:c r="I23" s="6"/>
      <x:c r="J23" s="2"/>
      <x:c r="K23" s="2"/>
      <x:c r="L23" s="2"/>
      <x:c r="M23" s="2"/>
    </x:row>
    <x:row r="24" ht="25" customHeight="1">
      <x:c r="A24" s="2"/>
      <x:c r="B24" s="2"/>
      <x:c r="C24" s="2"/>
      <x:c r="D24" s="6"/>
      <x:c r="E24" s="6"/>
      <x:c r="F24" s="6"/>
      <x:c r="G24" s="6"/>
      <x:c r="H24" s="6"/>
      <x:c r="I24" s="6"/>
      <x:c r="J24" s="2"/>
      <x:c r="K24" s="2"/>
      <x:c r="L24" s="2"/>
      <x:c r="M24" s="2"/>
    </x:row>
    <x:row r="25" ht="25" customHeight="1">
      <x:c r="A25" s="2"/>
      <x:c r="B25" s="2"/>
      <x:c r="C25" s="7" t="str">
        <x:v>Start with Controls, review Financing and Alternatives, then select Downside before using the hard walk-away.</x:v>
      </x:c>
      <x:c r="D25" s="6"/>
      <x:c r="E25" s="6"/>
      <x:c r="F25" s="6"/>
      <x:c r="G25" s="6"/>
      <x:c r="H25" s="6"/>
      <x:c r="I25" s="6"/>
      <x:c r="J25" s="2"/>
      <x:c r="K25" s="2"/>
      <x:c r="L25" s="2"/>
      <x:c r="M25" s="2"/>
    </x:row>
    <x:row r="26" ht="25" customHeight="1">
      <x:c r="A26" s="2"/>
      <x:c r="B26" s="2"/>
      <x:c r="C26" s="2"/>
      <x:c r="D26" s="6"/>
      <x:c r="E26" s="6"/>
      <x:c r="F26" s="6"/>
      <x:c r="G26" s="6"/>
      <x:c r="H26" s="6"/>
      <x:c r="I26" s="6"/>
      <x:c r="J26" s="2"/>
      <x:c r="K26" s="2"/>
      <x:c r="L26" s="2"/>
      <x:c r="M26" s="2"/>
    </x:row>
    <x:row r="27" ht="25" customHeight="1">
      <x:c r="A27" s="2"/>
      <x:c r="B27" s="2"/>
      <x:c r="C27" s="7" t="str">
        <x:v>Affordability, justified price and strategic value are separate constraints. A feasible price does not validate the business thesis.</x:v>
      </x:c>
      <x:c r="D27" s="6"/>
      <x:c r="E27" s="6"/>
      <x:c r="F27" s="6"/>
      <x:c r="G27" s="6"/>
      <x:c r="H27" s="6"/>
      <x:c r="I27" s="6"/>
      <x:c r="J27" s="2"/>
      <x:c r="K27" s="2"/>
      <x:c r="L27" s="2"/>
      <x:c r="M27" s="2"/>
    </x:row>
    <x:row r="28" ht="25" customHeight="1">
      <x:c r="A28" s="2"/>
      <x:c r="B28" s="2"/>
      <x:c r="C28" s="2"/>
      <x:c r="D28" s="6"/>
      <x:c r="E28" s="6"/>
      <x:c r="F28" s="6"/>
      <x:c r="G28" s="6"/>
      <x:c r="H28" s="6"/>
      <x:c r="I28" s="6"/>
      <x:c r="J28" s="2"/>
      <x:c r="K28" s="2"/>
      <x:c r="L28" s="2"/>
      <x:c r="M28" s="2"/>
    </x:row>
    <x:row r="29" ht="25" customHeight="1">
      <x:c r="A29" s="2"/>
      <x:c r="B29" s="2"/>
      <x:c r="C29" s="7" t="str">
        <x:v>All examples are Assumption. Missing evidence and commitments remain open. Annual cash tests do not cover intra-year troughs.</x:v>
      </x:c>
      <x:c r="D29" s="6"/>
      <x:c r="E29" s="6"/>
      <x:c r="F29" s="6"/>
      <x:c r="G29" s="6"/>
      <x:c r="H29" s="6"/>
      <x:c r="I29" s="6"/>
      <x:c r="J29" s="2"/>
      <x:c r="K29" s="2"/>
      <x:c r="L29" s="2"/>
      <x:c r="M29" s="2"/>
    </x:row>
    <x:row r="30" ht="25" customHeight="1">
      <x:c r="A30" s="2"/>
      <x:c r="B30" s="2"/>
      <x:c r="C30" s="2"/>
      <x:c r="D30" s="6"/>
      <x:c r="E30" s="6"/>
      <x:c r="F30" s="6"/>
      <x:c r="G30" s="6"/>
      <x:c r="H30" s="6"/>
      <x:c r="I30" s="6"/>
      <x:c r="J30" s="2"/>
      <x:c r="K30" s="2"/>
      <x:c r="L30" s="2"/>
      <x:c r="M30" s="2"/>
    </x:row>
    <x:row r="31" ht="25" customHeight="1">
      <x:c r="A31" s="2"/>
      <x:c r="B31" s="2"/>
      <x:c r="C31" s="2"/>
      <x:c r="D31" s="6"/>
      <x:c r="E31" s="6"/>
      <x:c r="F31" s="6"/>
      <x:c r="G31" s="6"/>
      <x:c r="H31" s="6"/>
      <x:c r="I31" s="6"/>
      <x:c r="J31" s="2"/>
      <x:c r="K31" s="2"/>
      <x:c r="L31" s="2"/>
      <x:c r="M31" s="2"/>
    </x:row>
    <x:row r="32" ht="25" customHeight="1">
      <x:c r="A32" s="2"/>
      <x:c r="B32" s="2"/>
      <x:c r="C32" s="2"/>
      <x:c r="D32" s="6"/>
      <x:c r="E32" s="6"/>
      <x:c r="F32" s="6"/>
      <x:c r="G32" s="6"/>
      <x:c r="H32" s="6"/>
      <x:c r="I32" s="6"/>
      <x:c r="J32" s="2"/>
      <x:c r="K32" s="2"/>
      <x:c r="L32" s="2"/>
      <x:c r="M32" s="2"/>
    </x:row>
    <x:row r="33" ht="25" customHeight="1">
      <x:c r="A33" s="2"/>
      <x:c r="B33" s="2"/>
      <x:c r="C33" s="2"/>
      <x:c r="D33" s="6"/>
      <x:c r="E33" s="6"/>
      <x:c r="F33" s="6"/>
      <x:c r="G33" s="6"/>
      <x:c r="H33" s="6"/>
      <x:c r="I33" s="6"/>
      <x:c r="J33" s="2"/>
      <x:c r="K33" s="2"/>
      <x:c r="L33" s="2"/>
      <x:c r="M33" s="2"/>
    </x:row>
    <x:row r="34" ht="25" customHeight="1">
      <x:c r="A34" s="2"/>
      <x:c r="B34" s="2"/>
      <x:c r="C34" s="2"/>
      <x:c r="D34" s="6"/>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2"/>
      <x:c r="D36" s="6"/>
      <x:c r="E36" s="6"/>
      <x:c r="F36" s="6"/>
      <x:c r="G36" s="6"/>
      <x:c r="H36" s="6"/>
      <x:c r="I36" s="6"/>
      <x:c r="J36" s="2"/>
      <x:c r="K36" s="2"/>
      <x:c r="L36" s="2"/>
      <x:c r="M36" s="2"/>
    </x:row>
    <x:row r="37" ht="25" customHeight="1">
      <x:c r="A37" s="2"/>
      <x:c r="B37" s="2"/>
      <x:c r="C37" s="2"/>
      <x:c r="D37" s="6"/>
      <x:c r="E37" s="6"/>
      <x:c r="F37" s="6"/>
      <x:c r="G37" s="6"/>
      <x:c r="H37" s="6"/>
      <x:c r="I37" s="6"/>
      <x:c r="J37" s="2"/>
      <x:c r="K37" s="2"/>
      <x:c r="L37" s="2"/>
      <x:c r="M37" s="2"/>
    </x:row>
    <x:row r="38" ht="25" customHeight="1">
      <x:c r="A38" s="2"/>
      <x:c r="B38" s="2"/>
      <x:c r="C38" s="2"/>
      <x:c r="D38" s="6"/>
      <x:c r="E38" s="6"/>
      <x:c r="F38" s="6"/>
      <x:c r="G38" s="6"/>
      <x:c r="H38" s="6"/>
      <x:c r="I38" s="6"/>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2"/>
      <x:c r="D40" s="6"/>
      <x:c r="E40" s="6"/>
      <x:c r="F40" s="6"/>
      <x:c r="G40" s="6"/>
      <x:c r="H40" s="6"/>
      <x:c r="I40" s="6"/>
      <x:c r="J40" s="2"/>
      <x:c r="K40" s="2"/>
      <x:c r="L40" s="2"/>
      <x:c r="M40" s="2"/>
    </x:row>
    <x:row r="41" ht="25" customHeight="1">
      <x:c r="A41" s="2"/>
      <x:c r="B41" s="2"/>
      <x:c r="C41" s="2"/>
      <x:c r="D41" s="6"/>
      <x:c r="E41" s="6"/>
      <x:c r="F41" s="6"/>
      <x:c r="G41" s="6"/>
      <x:c r="H41" s="6"/>
      <x:c r="I41" s="6"/>
      <x:c r="J41" s="2"/>
      <x:c r="K41" s="2"/>
      <x:c r="L41" s="2"/>
      <x:c r="M41" s="2"/>
    </x:row>
    <x:row r="42" ht="25" customHeight="1">
      <x:c r="A42" s="2"/>
      <x:c r="B42" s="2"/>
      <x:c r="C42" s="2"/>
      <x:c r="D42" s="6"/>
      <x:c r="E42" s="6"/>
      <x:c r="F42" s="6"/>
      <x:c r="G42" s="6"/>
      <x:c r="H42" s="6"/>
      <x:c r="I42" s="6"/>
      <x:c r="J42" s="2"/>
      <x:c r="K42" s="2"/>
      <x:c r="L42" s="2"/>
      <x:c r="M42" s="2"/>
    </x:row>
    <x:row r="43" ht="25" customHeight="1">
      <x:c r="A43" s="2"/>
      <x:c r="B43" s="2"/>
      <x:c r="C43" s="2"/>
      <x:c r="D43" s="6"/>
      <x:c r="E43" s="6"/>
      <x:c r="F43" s="6"/>
      <x:c r="G43" s="6"/>
      <x:c r="H43" s="6"/>
      <x:c r="I43" s="6"/>
      <x:c r="J43" s="2"/>
      <x:c r="K43" s="2"/>
      <x:c r="L43" s="2"/>
      <x:c r="M43" s="2"/>
    </x:row>
    <x:row r="44" ht="25" customHeight="1">
      <x:c r="A44" s="2"/>
      <x:c r="B44" s="2"/>
      <x:c r="C44" s="2"/>
      <x:c r="D44" s="6"/>
      <x:c r="E44" s="6"/>
      <x:c r="F44" s="6"/>
      <x:c r="G44" s="6"/>
      <x:c r="H44" s="6"/>
      <x:c r="I44" s="6"/>
      <x:c r="J44" s="2"/>
      <x:c r="K44" s="2"/>
      <x:c r="L44" s="2"/>
      <x:c r="M44" s="2"/>
    </x:row>
    <x:row r="45" ht="25" customHeight="1">
      <x:c r="A45" s="2"/>
      <x:c r="B45" s="2"/>
      <x:c r="C45" s="2"/>
      <x:c r="D45" s="6"/>
      <x:c r="E45" s="6"/>
      <x:c r="F45" s="6"/>
      <x:c r="G45" s="6"/>
      <x:c r="H45" s="6"/>
      <x:c r="I45" s="6"/>
      <x:c r="J45" s="2"/>
      <x:c r="K45" s="2"/>
      <x:c r="L45" s="2"/>
      <x:c r="M45" s="2"/>
    </x:row>
    <x:row r="46" ht="25" customHeight="1">
      <x:c r="A46" s="2"/>
      <x:c r="B46" s="2"/>
      <x:c r="C46" s="2"/>
      <x:c r="D46" s="6"/>
      <x:c r="E46" s="6"/>
      <x:c r="F46" s="6"/>
      <x:c r="G46" s="6"/>
      <x:c r="H46" s="6"/>
      <x:c r="I46" s="6"/>
      <x:c r="J46" s="2"/>
      <x:c r="K46" s="2"/>
      <x:c r="L46" s="2"/>
      <x:c r="M46" s="2"/>
    </x:row>
    <x:row r="47" ht="25" customHeight="1">
      <x:c r="A47" s="2"/>
      <x:c r="B47" s="2"/>
      <x:c r="C47" s="2"/>
      <x:c r="D47" s="6"/>
      <x:c r="E47" s="6"/>
      <x:c r="F47" s="6"/>
      <x:c r="G47" s="6"/>
      <x:c r="H47" s="6"/>
      <x:c r="I47" s="6"/>
      <x:c r="J47" s="2"/>
      <x:c r="K47" s="2"/>
      <x:c r="L47" s="2"/>
      <x:c r="M47" s="2"/>
    </x:row>
    <x:row r="48" ht="25" customHeight="1">
      <x:c r="A48" s="2"/>
      <x:c r="B48" s="2"/>
      <x:c r="C48" s="2"/>
      <x:c r="D48" s="6"/>
      <x:c r="E48" s="6"/>
      <x:c r="F48" s="6"/>
      <x:c r="G48" s="6"/>
      <x:c r="H48" s="6"/>
      <x:c r="I48" s="6"/>
      <x:c r="J48" s="2"/>
      <x:c r="K48" s="2"/>
      <x:c r="L48" s="2"/>
      <x:c r="M48" s="2"/>
    </x:row>
    <x:row r="49" ht="25" customHeight="1">
      <x:c r="A49" s="2"/>
      <x:c r="B49" s="2"/>
      <x:c r="C49" s="2"/>
      <x:c r="D49" s="6"/>
      <x:c r="E49" s="6"/>
      <x:c r="F49" s="6"/>
      <x:c r="G49" s="6"/>
      <x:c r="H49" s="6"/>
      <x:c r="I49" s="6"/>
      <x:c r="J49" s="2"/>
      <x:c r="K49" s="2"/>
      <x:c r="L49" s="2"/>
      <x:c r="M49" s="2"/>
    </x:row>
    <x:row r="50" ht="25" customHeight="1">
      <x:c r="A50" s="2"/>
      <x:c r="B50" s="2"/>
      <x:c r="C50" s="2"/>
      <x:c r="D50" s="6"/>
      <x:c r="E50" s="6"/>
      <x:c r="F50" s="6"/>
      <x:c r="G50" s="6"/>
      <x:c r="H50" s="6"/>
      <x:c r="I50" s="6"/>
      <x:c r="J50" s="2"/>
      <x:c r="K50" s="2"/>
      <x:c r="L50" s="2"/>
      <x:c r="M50" s="2"/>
    </x:row>
    <x:row r="51" ht="25" customHeight="1">
      <x:c r="A51" s="2"/>
      <x:c r="B51" s="2"/>
      <x:c r="C51" s="2"/>
      <x:c r="D51" s="6"/>
      <x:c r="E51" s="6"/>
      <x:c r="F51" s="6"/>
      <x:c r="G51" s="6"/>
      <x:c r="H51" s="6"/>
      <x:c r="I51" s="6"/>
      <x:c r="J51" s="2"/>
      <x:c r="K51" s="2"/>
      <x:c r="L51" s="2"/>
      <x:c r="M51" s="2"/>
    </x:row>
    <x:row r="52" ht="25" customHeight="1">
      <x:c r="A52" s="2"/>
      <x:c r="B52" s="2"/>
      <x:c r="C52" s="2"/>
      <x:c r="D52" s="6"/>
      <x:c r="E52" s="6"/>
      <x:c r="F52" s="6"/>
      <x:c r="G52" s="6"/>
      <x:c r="H52" s="6"/>
      <x:c r="I52" s="6"/>
      <x:c r="J52" s="2"/>
      <x:c r="K52" s="2"/>
      <x:c r="L52" s="2"/>
      <x:c r="M52" s="2"/>
    </x:row>
    <x:row r="53" ht="25" customHeight="1">
      <x:c r="A53" s="2"/>
      <x:c r="B53" s="2"/>
      <x:c r="C53" s="2"/>
      <x:c r="D53" s="6"/>
      <x:c r="E53" s="6"/>
      <x:c r="F53" s="6"/>
      <x:c r="G53" s="6"/>
      <x:c r="H53" s="6"/>
      <x:c r="I53" s="6"/>
      <x:c r="J53" s="2"/>
      <x:c r="K53" s="2"/>
      <x:c r="L53" s="2"/>
      <x:c r="M53" s="2"/>
    </x:row>
    <x:row r="54" ht="25" customHeight="1">
      <x:c r="A54" s="2"/>
      <x:c r="B54" s="2"/>
      <x:c r="C54" s="2"/>
      <x:c r="D54" s="6"/>
      <x:c r="E54" s="6"/>
      <x:c r="F54" s="6"/>
      <x:c r="G54" s="6"/>
      <x:c r="H54" s="6"/>
      <x:c r="I54" s="6"/>
      <x:c r="J54" s="2"/>
      <x:c r="K54" s="2"/>
      <x:c r="L54" s="2"/>
      <x:c r="M54" s="2"/>
    </x:row>
    <x:row r="55" ht="25" customHeight="1">
      <x:c r="A55" s="2"/>
      <x:c r="B55" s="2"/>
      <x:c r="C55" s="2"/>
      <x:c r="D55" s="6"/>
      <x:c r="E55" s="6"/>
      <x:c r="F55" s="6"/>
      <x:c r="G55" s="6"/>
      <x:c r="H55" s="6"/>
      <x:c r="I55" s="6"/>
      <x:c r="J55" s="2"/>
      <x:c r="K55" s="2"/>
      <x:c r="L55" s="2"/>
      <x:c r="M55" s="2"/>
    </x:row>
    <x:row r="56" ht="25" customHeight="1">
      <x:c r="A56" s="2"/>
      <x:c r="B56" s="2"/>
      <x:c r="C56" s="2"/>
      <x:c r="D56" s="6"/>
      <x:c r="E56" s="6"/>
      <x:c r="F56" s="6"/>
      <x:c r="G56" s="6"/>
      <x:c r="H56" s="6"/>
      <x:c r="I56" s="6"/>
      <x:c r="J56" s="2"/>
      <x:c r="K56" s="2"/>
      <x:c r="L56" s="2"/>
      <x:c r="M56" s="2"/>
    </x:row>
    <x:row r="57" ht="25" customHeight="1">
      <x:c r="A57" s="2"/>
      <x:c r="B57" s="2"/>
      <x:c r="C57" s="2"/>
      <x:c r="D57" s="6"/>
      <x:c r="E57" s="6"/>
      <x:c r="F57" s="6"/>
      <x:c r="G57" s="6"/>
      <x:c r="H57" s="6"/>
      <x:c r="I57" s="6"/>
      <x:c r="J57" s="2"/>
      <x:c r="K57" s="2"/>
      <x:c r="L57" s="2"/>
      <x:c r="M57" s="2"/>
    </x:row>
    <x:row r="58" ht="25" customHeight="1">
      <x:c r="A58" s="2"/>
      <x:c r="B58" s="2"/>
      <x:c r="C58" s="2"/>
      <x:c r="D58" s="6"/>
      <x:c r="E58" s="6"/>
      <x:c r="F58" s="6"/>
      <x:c r="G58" s="6"/>
      <x:c r="H58" s="6"/>
      <x:c r="I58" s="6"/>
      <x:c r="J58" s="2"/>
      <x:c r="K58" s="2"/>
      <x:c r="L58" s="2"/>
      <x:c r="M58" s="2"/>
    </x:row>
    <x:row r="59" ht="25" customHeight="1">
      <x:c r="A59" s="2"/>
      <x:c r="B59" s="2"/>
      <x:c r="C59" s="2"/>
      <x:c r="D59" s="6"/>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2"/>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2"/>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2"/>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2"/>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conditionalFormatting sqref="D7:D16">
    <x:cfRule type="containsText" dxfId="43" priority="1" operator="containsText" text="Open"/>
    <x:cfRule type="containsText" dxfId="44" priority="2" operator="containsText" text="Invalid"/>
    <x:cfRule type="containsText" dxfId="45" priority="3" operator="containsText" text="Missing"/>
    <x:cfRule type="containsText" dxfId="46" priority="4" operator="containsText" text="Hold"/>
    <x:cfRule type="containsText" dxfId="47" priority="5" operator="containsText" text="Select Downside"/>
    <x:cfRule type="containsText" dxfId="48" priority="6" operator="containsText" text="No positive"/>
    <x:cfRule type="containsText" dxfId="49" priority="7" operator="containsText" text="Breach"/>
  </x:conditionalFormatting>
  <x:conditionalFormatting sqref="G7:G16">
    <x:cfRule type="containsText" dxfId="50" priority="8" operator="containsText" text="Open"/>
    <x:cfRule type="containsText" dxfId="51" priority="9" operator="containsText" text="Invalid"/>
    <x:cfRule type="containsText" dxfId="52" priority="10" operator="containsText" text="Missing"/>
    <x:cfRule type="containsText" dxfId="53" priority="11" operator="containsText" text="Hold"/>
    <x:cfRule type="containsText" dxfId="54" priority="12" operator="containsText" text="Select Downside"/>
    <x:cfRule type="containsText" dxfId="55" priority="13" operator="containsText" text="No positive"/>
    <x:cfRule type="containsText" dxfId="56" priority="14" operator="containsText" text="Breach"/>
  </x:conditionalFormatting>
  <x:pageMargins left="0.7" right="0.7" top="0.75" bottom="0.75" header="0.3" footer="0.3"/>
</x:worksheet>
</file>

<file path=xl/worksheets/sheet2.xml><?xml version="1.0" encoding="utf-8"?>
<x:worksheet xmlns:x="http://schemas.openxmlformats.org/spreadsheetml/2006/main">
  <x:sheetPr>
    <x:tabColor rgb="FF477467"/>
  </x:sheetPr>
  <x:sheetViews>
    <x:sheetView showGridLines="0" workbookViewId="0">
      <x:pane ySplit="4" topLeftCell="A5" activePane="bottomLeft" state="frozen"/>
    </x:sheetView>
  </x:sheetViews>
  <x:sheetFormatPr defaultRowHeight="15"/>
  <x:cols>
    <x:col min="1" max="1" width="2.5" hidden="0" customWidth="1"/>
    <x:col min="2" max="2" width="2.5" hidden="0" customWidth="1"/>
    <x:col min="3" max="3" width="46" hidden="0" customWidth="1"/>
    <x:col min="4" max="4" width="20"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Controls</x:v>
      </x:c>
      <x:c r="D2" s="2"/>
      <x:c r="E2" s="2"/>
      <x:c r="F2" s="2"/>
      <x:c r="G2" s="2"/>
      <x:c r="H2" s="2"/>
      <x:c r="I2" s="2"/>
      <x:c r="J2" s="2"/>
      <x:c r="K2" s="2"/>
      <x:c r="L2" s="2"/>
      <x:c r="M2" s="2"/>
    </x:row>
    <x:row r="3" ht="25" customHeight="1">
      <x:c r="A3" s="2"/>
      <x:c r="B3" s="2"/>
      <x:c r="C3" s="7" t="str">
        <x:v>All populated examples are Assumption. Amber cells are editable. Monetary values are USD millions.</x:v>
      </x:c>
      <x:c r="D3" s="2"/>
      <x:c r="E3" s="2"/>
      <x:c r="F3" s="2"/>
      <x:c r="G3" s="2"/>
      <x:c r="H3" s="2"/>
      <x:c r="I3" s="2"/>
      <x:c r="J3" s="2"/>
      <x:c r="K3" s="2"/>
      <x:c r="L3" s="2"/>
      <x:c r="M3" s="2"/>
    </x:row>
    <x:row r="4" ht="25" customHeight="1">
      <x:c r="A4" s="2"/>
      <x:c r="B4" s="2"/>
      <x:c r="C4" s="2"/>
      <x:c r="D4" s="2"/>
      <x:c r="E4" s="2"/>
      <x:c r="F4" s="2"/>
      <x:c r="G4" s="2"/>
      <x:c r="H4" s="2"/>
      <x:c r="I4" s="2"/>
      <x:c r="J4" s="2"/>
      <x:c r="K4" s="2"/>
      <x:c r="L4" s="2"/>
      <x:c r="M4" s="2"/>
    </x:row>
    <x:row r="5" ht="25" customHeight="1">
      <x:c r="A5" s="2"/>
      <x:c r="B5" s="2"/>
      <x:c r="C5" s="2"/>
      <x:c r="D5" s="2"/>
      <x:c r="E5" s="2"/>
      <x:c r="F5" s="2"/>
      <x:c r="G5" s="2"/>
      <x:c r="H5" s="2"/>
      <x:c r="I5" s="2"/>
      <x:c r="J5" s="2"/>
      <x:c r="K5" s="2"/>
      <x:c r="L5" s="2"/>
      <x:c r="M5" s="2"/>
    </x:row>
    <x:row r="6" ht="33" customHeight="1">
      <x:c r="A6" s="2"/>
      <x:c r="B6" s="2"/>
      <x:c r="C6" s="16" t="str">
        <x:v>Business</x:v>
      </x:c>
      <x:c r="D6" s="17" t="str">
        <x:v>Assumption: capability acquisition</x:v>
      </x:c>
      <x:c r="E6" s="6"/>
      <x:c r="F6" s="15" t="str">
        <x:v>Price is debt-free, cash-free enterprise value with normalized working capital.</x:v>
      </x:c>
      <x:c r="G6" s="6"/>
      <x:c r="H6" s="6"/>
      <x:c r="I6" s="6"/>
      <x:c r="J6" s="2"/>
      <x:c r="K6" s="2"/>
      <x:c r="L6" s="2"/>
      <x:c r="M6" s="2"/>
    </x:row>
    <x:row r="7" ht="33" customHeight="1">
      <x:c r="A7" s="2"/>
      <x:c r="B7" s="2"/>
      <x:c r="C7" s="16" t="str">
        <x:v>Review date</x:v>
      </x:c>
      <x:c r="D7" s="18" t="n">
        <x:v>46275</x:v>
      </x:c>
      <x:c r="E7" s="6"/>
      <x:c r="F7" s="6"/>
      <x:c r="G7" s="6"/>
      <x:c r="H7" s="6"/>
      <x:c r="I7" s="6"/>
      <x:c r="J7" s="2"/>
      <x:c r="K7" s="2"/>
      <x:c r="L7" s="2"/>
      <x:c r="M7" s="2"/>
    </x:row>
    <x:row r="8" ht="33" customHeight="1">
      <x:c r="A8" s="2"/>
      <x:c r="B8" s="2"/>
      <x:c r="C8" s="16" t="str">
        <x:v>Case number</x:v>
      </x:c>
      <x:c r="D8" s="53" t="n">
        <x:v>1</x:v>
      </x:c>
      <x:c r="E8" s="6"/>
      <x:c r="F8" s="15" t="str">
        <x:v>1 = Base, 2 = Downside, 3 = Upside. Only Downside can produce the hard walk-away.</x:v>
      </x:c>
      <x:c r="G8" s="6"/>
      <x:c r="H8" s="6"/>
      <x:c r="I8" s="6"/>
      <x:c r="J8" s="2"/>
      <x:c r="K8" s="2"/>
      <x:c r="L8" s="2"/>
      <x:c r="M8" s="2"/>
    </x:row>
    <x:row r="9" ht="33" customHeight="1">
      <x:c r="A9" s="2"/>
      <x:c r="B9" s="2"/>
      <x:c r="C9" s="16" t="str">
        <x:v>Case name</x:v>
      </x:c>
      <x:c r="D9" s="52" t="str">
        <x:f>IF(OR(NOT(ISNUMBER(D8)),D8&lt;1,D8&gt;3,D8&lt;&gt;INT(D8)),"Invalid case",CHOOSE(D8,"Base","Downside","Upside"))</x:f>
        <x:v>Base</x:v>
      </x:c>
      <x:c r="E9" s="6"/>
      <x:c r="F9" s="6"/>
      <x:c r="G9" s="6"/>
      <x:c r="H9" s="6"/>
      <x:c r="I9" s="6"/>
      <x:c r="J9" s="2"/>
      <x:c r="K9" s="2"/>
      <x:c r="L9" s="2"/>
      <x:c r="M9" s="2"/>
    </x:row>
    <x:row r="10" ht="33" customHeight="1">
      <x:c r="A10" s="2"/>
      <x:c r="B10" s="2"/>
      <x:c r="C10" s="16" t="str">
        <x:v>Financing option number</x:v>
      </x:c>
      <x:c r="D10" s="53" t="n">
        <x:v>2</x:v>
      </x:c>
      <x:c r="E10" s="6"/>
      <x:c r="F10" s="15" t="str">
        <x:v>Funding options are on Financing. Proposed debt is distinct from committed debt capacity.</x:v>
      </x:c>
      <x:c r="G10" s="6"/>
      <x:c r="H10" s="6"/>
      <x:c r="I10" s="6"/>
      <x:c r="J10" s="2"/>
      <x:c r="K10" s="2"/>
      <x:c r="L10" s="2"/>
      <x:c r="M10" s="2"/>
    </x:row>
    <x:row r="11" ht="33" customHeight="1">
      <x:c r="A11" s="2"/>
      <x:c r="B11" s="2"/>
      <x:c r="C11" s="16" t="str">
        <x:v>Decision owner</x:v>
      </x:c>
      <x:c r="D11" s="17"/>
      <x:c r="E11" s="6"/>
      <x:c r="F11" s="6"/>
      <x:c r="G11" s="6"/>
      <x:c r="H11" s="6"/>
      <x:c r="I11" s="6"/>
      <x:c r="J11" s="2"/>
      <x:c r="K11" s="2"/>
      <x:c r="L11" s="2"/>
      <x:c r="M11" s="2"/>
    </x:row>
    <x:row r="12" ht="33" customHeight="1">
      <x:c r="A12" s="2"/>
      <x:c r="B12" s="2"/>
      <x:c r="C12" s="16" t="str">
        <x:v>Evidence label</x:v>
      </x:c>
      <x:c r="D12" s="17" t="str">
        <x:v>Assumption</x:v>
      </x:c>
      <x:c r="E12" s="6"/>
      <x:c r="F12" s="15" t="str">
        <x:v>Verified requires a named owner, record and confirmed outcome before a hard price appears.</x:v>
      </x:c>
      <x:c r="G12" s="6"/>
      <x:c r="H12" s="6"/>
      <x:c r="I12" s="6"/>
      <x:c r="J12" s="2"/>
      <x:c r="K12" s="2"/>
      <x:c r="L12" s="2"/>
      <x:c r="M12" s="2"/>
    </x:row>
    <x:row r="13" ht="33" customHeight="1">
      <x:c r="A13" s="2"/>
      <x:c r="B13" s="2"/>
      <x:c r="C13" s="16" t="str">
        <x:v>Evidence / approval record</x:v>
      </x:c>
      <x:c r="D13" s="17" t="str">
        <x:v>Assumption: illustrative inputs</x:v>
      </x:c>
      <x:c r="E13" s="6"/>
      <x:c r="F13" s="6"/>
      <x:c r="G13" s="6"/>
      <x:c r="H13" s="6"/>
      <x:c r="I13" s="6"/>
      <x:c r="J13" s="2"/>
      <x:c r="K13" s="2"/>
      <x:c r="L13" s="2"/>
      <x:c r="M13" s="2"/>
    </x:row>
    <x:row r="14" ht="33" customHeight="1">
      <x:c r="A14" s="2"/>
      <x:c r="B14" s="2"/>
      <x:c r="C14" s="16" t="str">
        <x:v>Alternatives comparable and mutually exclusive?</x:v>
      </x:c>
      <x:c r="D14" s="17" t="str">
        <x:v>No</x:v>
      </x:c>
      <x:c r="E14" s="6"/>
      <x:c r="F14" s="15" t="str">
        <x:v>Confirm a common capital budget, horizon, hurdle, risk basis and mutually exclusive choices.</x:v>
      </x:c>
      <x:c r="G14" s="6"/>
      <x:c r="H14" s="6"/>
      <x:c r="I14" s="6"/>
      <x:c r="J14" s="2"/>
      <x:c r="K14" s="2"/>
      <x:c r="L14" s="2"/>
      <x:c r="M14" s="2"/>
    </x:row>
    <x:row r="15" ht="33" customHeight="1">
      <x:c r="A15" s="2"/>
      <x:c r="B15" s="2"/>
      <x:c r="C15" s="16" t="str">
        <x:v>Required outcome / timing confirmed?</x:v>
      </x:c>
      <x:c r="D15" s="17" t="str">
        <x:v>Pending</x:v>
      </x:c>
      <x:c r="E15" s="6"/>
      <x:c r="F15" s="6"/>
      <x:c r="G15" s="6"/>
      <x:c r="H15" s="6"/>
      <x:c r="I15" s="6"/>
      <x:c r="J15" s="2"/>
      <x:c r="K15" s="2"/>
      <x:c r="L15" s="2"/>
      <x:c r="M15" s="2"/>
    </x:row>
    <x:row r="16" ht="33" customHeight="1">
      <x:c r="A16" s="2"/>
      <x:c r="B16" s="2"/>
      <x:c r="C16" s="16" t="str">
        <x:v>Cash tax rate</x:v>
      </x:c>
      <x:c r="D16" s="21" t="n">
        <x:v>0.25</x:v>
      </x:c>
      <x:c r="E16" s="6"/>
      <x:c r="F16" s="6"/>
      <x:c r="G16" s="6"/>
      <x:c r="H16" s="6"/>
      <x:c r="I16" s="6"/>
      <x:c r="J16" s="2"/>
      <x:c r="K16" s="2"/>
      <x:c r="L16" s="2"/>
      <x:c r="M16" s="2"/>
    </x:row>
    <x:row r="17" ht="33" customHeight="1">
      <x:c r="A17" s="2"/>
      <x:c r="B17" s="2"/>
      <x:c r="C17" s="16" t="str">
        <x:v>Annual unlevered hurdle</x:v>
      </x:c>
      <x:c r="D17" s="21" t="n">
        <x:v>0.15</x:v>
      </x:c>
      <x:c r="E17" s="6"/>
      <x:c r="F17" s="6"/>
      <x:c r="G17" s="6"/>
      <x:c r="H17" s="6"/>
      <x:c r="I17" s="6"/>
      <x:c r="J17" s="2"/>
      <x:c r="K17" s="2"/>
      <x:c r="L17" s="2"/>
      <x:c r="M17" s="2"/>
    </x:row>
    <x:row r="18" ht="33" customHeight="1">
      <x:c r="A18" s="2"/>
      <x:c r="B18" s="2"/>
      <x:c r="C18" s="16" t="str">
        <x:v>Proposed enterprise value</x:v>
      </x:c>
      <x:c r="D18" s="19" t="n">
        <x:v>35</x:v>
      </x:c>
      <x:c r="E18" s="6"/>
      <x:c r="F18" s="6"/>
      <x:c r="G18" s="6"/>
      <x:c r="H18" s="6"/>
      <x:c r="I18" s="6"/>
      <x:c r="J18" s="2"/>
      <x:c r="K18" s="2"/>
      <x:c r="L18" s="2"/>
      <x:c r="M18" s="2"/>
    </x:row>
    <x:row r="19" ht="33" customHeight="1">
      <x:c r="A19" s="2"/>
      <x:c r="B19" s="2"/>
      <x:c r="C19" s="16" t="str">
        <x:v>All transaction and financing fees at close</x:v>
      </x:c>
      <x:c r="D19" s="19" t="n">
        <x:v>1</x:v>
      </x:c>
      <x:c r="E19" s="6"/>
      <x:c r="F19" s="15" t="str">
        <x:v>Include all advisory, financing and equity issuance fees once. Reprice fees if funding changes.</x:v>
      </x:c>
      <x:c r="G19" s="6"/>
      <x:c r="H19" s="6"/>
      <x:c r="I19" s="6"/>
      <x:c r="J19" s="2"/>
      <x:c r="K19" s="2"/>
      <x:c r="L19" s="2"/>
      <x:c r="M19" s="2"/>
    </x:row>
    <x:row r="20" ht="33" customHeight="1">
      <x:c r="A20" s="2"/>
      <x:c r="B20" s="2"/>
      <x:c r="C20" s="16" t="str">
        <x:v>Additional investment at close</x:v>
      </x:c>
      <x:c r="D20" s="19" t="n">
        <x:v>2</x:v>
      </x:c>
      <x:c r="E20" s="6"/>
      <x:c r="F20" s="6"/>
      <x:c r="G20" s="6"/>
      <x:c r="H20" s="6"/>
      <x:c r="I20" s="6"/>
      <x:c r="J20" s="2"/>
      <x:c r="K20" s="2"/>
      <x:c r="L20" s="2"/>
      <x:c r="M20" s="2"/>
    </x:row>
    <x:row r="21" ht="33" customHeight="1">
      <x:c r="A21" s="2"/>
      <x:c r="B21" s="2"/>
      <x:c r="C21" s="16" t="str">
        <x:v>Share of buyer synergy PV allowed in price</x:v>
      </x:c>
      <x:c r="D21" s="21" t="n">
        <x:v>0.5</x:v>
      </x:c>
      <x:c r="E21" s="6"/>
      <x:c r="F21" s="15" t="str">
        <x:v>Price includes the full PV of negative annual synergy cash and the allowed share of positive annual cash.</x:v>
      </x:c>
      <x:c r="G21" s="6"/>
      <x:c r="H21" s="6"/>
      <x:c r="I21" s="6"/>
      <x:c r="J21" s="2"/>
      <x:c r="K21" s="2"/>
      <x:c r="L21" s="2"/>
      <x:c r="M21" s="2"/>
    </x:row>
    <x:row r="22" ht="33" customHeight="1">
      <x:c r="A22" s="2"/>
      <x:c r="B22" s="2"/>
      <x:c r="C22" s="16" t="str">
        <x:v>Strategic enterprise value ceiling</x:v>
      </x:c>
      <x:c r="D22" s="19" t="n">
        <x:v>38</x:v>
      </x:c>
      <x:c r="E22" s="6"/>
      <x:c r="F22" s="6"/>
      <x:c r="G22" s="6"/>
      <x:c r="H22" s="6"/>
      <x:c r="I22" s="6"/>
      <x:c r="J22" s="2"/>
      <x:c r="K22" s="2"/>
      <x:c r="L22" s="2"/>
      <x:c r="M22" s="2"/>
    </x:row>
    <x:row r="23" ht="33" customHeight="1">
      <x:c r="A23" s="2"/>
      <x:c r="B23" s="2"/>
      <x:c r="C23" s="16" t="str">
        <x:v>Buyer cash at close</x:v>
      </x:c>
      <x:c r="D23" s="19" t="n">
        <x:v>25</x:v>
      </x:c>
      <x:c r="E23" s="6"/>
      <x:c r="F23" s="6"/>
      <x:c r="G23" s="6"/>
      <x:c r="H23" s="6"/>
      <x:c r="I23" s="6"/>
      <x:c r="J23" s="2"/>
      <x:c r="K23" s="2"/>
      <x:c r="L23" s="2"/>
      <x:c r="M23" s="2"/>
    </x:row>
    <x:row r="24" ht="33" customHeight="1">
      <x:c r="A24" s="2"/>
      <x:c r="B24" s="2"/>
      <x:c r="C24" s="16" t="str">
        <x:v>Restricted cash</x:v>
      </x:c>
      <x:c r="D24" s="19" t="n">
        <x:v>2</x:v>
      </x:c>
      <x:c r="E24" s="6"/>
      <x:c r="F24" s="6"/>
      <x:c r="G24" s="6"/>
      <x:c r="H24" s="6"/>
      <x:c r="I24" s="6"/>
      <x:c r="J24" s="2"/>
      <x:c r="K24" s="2"/>
      <x:c r="L24" s="2"/>
      <x:c r="M24" s="2"/>
    </x:row>
    <x:row r="25" ht="33" customHeight="1">
      <x:c r="A25" s="2"/>
      <x:c r="B25" s="2"/>
      <x:c r="C25" s="16" t="str">
        <x:v>Minimum unrestricted cash reserve</x:v>
      </x:c>
      <x:c r="D25" s="19" t="n">
        <x:v>5</x:v>
      </x:c>
      <x:c r="E25" s="6"/>
      <x:c r="F25" s="15" t="str">
        <x:v>Reserve is maintained at close and every annual period end. Intra-year troughs need a cash calendar.</x:v>
      </x:c>
      <x:c r="G25" s="6"/>
      <x:c r="H25" s="6"/>
      <x:c r="I25" s="6"/>
      <x:c r="J25" s="2"/>
      <x:c r="K25" s="2"/>
      <x:c r="L25" s="2"/>
      <x:c r="M25" s="2"/>
    </x:row>
    <x:row r="26" ht="33" customHeight="1">
      <x:c r="A26" s="2"/>
      <x:c r="B26" s="2"/>
      <x:c r="C26" s="16" t="str">
        <x:v>Other cash commitments at close</x:v>
      </x:c>
      <x:c r="D26" s="19" t="n">
        <x:v>3</x:v>
      </x:c>
      <x:c r="E26" s="6"/>
      <x:c r="F26" s="6"/>
      <x:c r="G26" s="6"/>
      <x:c r="H26" s="6"/>
      <x:c r="I26" s="6"/>
      <x:c r="J26" s="2"/>
      <x:c r="K26" s="2"/>
      <x:c r="L26" s="2"/>
      <x:c r="M26" s="2"/>
    </x:row>
    <x:row r="27" ht="33" customHeight="1">
      <x:c r="A27" s="2"/>
      <x:c r="B27" s="2"/>
      <x:c r="C27" s="16" t="str">
        <x:v>Existing debt at close</x:v>
      </x:c>
      <x:c r="D27" s="19" t="n">
        <x:v>15</x:v>
      </x:c>
      <x:c r="E27" s="6"/>
      <x:c r="F27" s="15" t="str">
        <x:v>Existing debt principal payments appear below. Cash flow excludes debt service to prevent double counting.</x:v>
      </x:c>
      <x:c r="G27" s="6"/>
      <x:c r="H27" s="6"/>
      <x:c r="I27" s="6"/>
      <x:c r="J27" s="2"/>
      <x:c r="K27" s="2"/>
      <x:c r="L27" s="2"/>
      <x:c r="M27" s="2"/>
    </x:row>
    <x:row r="28" ht="33" customHeight="1">
      <x:c r="A28" s="2"/>
      <x:c r="B28" s="2"/>
      <x:c r="C28" s="16" t="str">
        <x:v>Existing debt annual interest rate</x:v>
      </x:c>
      <x:c r="D28" s="21" t="n">
        <x:v>0.06</x:v>
      </x:c>
      <x:c r="E28" s="6"/>
      <x:c r="F28" s="6"/>
      <x:c r="G28" s="6"/>
      <x:c r="H28" s="6"/>
      <x:c r="I28" s="6"/>
      <x:c r="J28" s="2"/>
      <x:c r="K28" s="2"/>
      <x:c r="L28" s="2"/>
      <x:c r="M28" s="2"/>
    </x:row>
    <x:row r="29" ht="33" customHeight="1">
      <x:c r="A29" s="2"/>
      <x:c r="B29" s="2"/>
      <x:c r="C29" s="16" t="str">
        <x:v>Maximum gross debt / EBITDA</x:v>
      </x:c>
      <x:c r="D29" s="22" t="n">
        <x:v>3</x:v>
      </x:c>
      <x:c r="E29" s="6"/>
      <x:c r="F29" s="6"/>
      <x:c r="G29" s="6"/>
      <x:c r="H29" s="6"/>
      <x:c r="I29" s="6"/>
      <x:c r="J29" s="2"/>
      <x:c r="K29" s="2"/>
      <x:c r="L29" s="2"/>
      <x:c r="M29" s="2"/>
    </x:row>
    <x:row r="30" ht="33" customHeight="1">
      <x:c r="A30" s="2"/>
      <x:c r="B30" s="2"/>
      <x:c r="C30" s="16" t="str">
        <x:v>Minimum EBITDA / cash interest</x:v>
      </x:c>
      <x:c r="D30" s="22" t="n">
        <x:v>3</x:v>
      </x:c>
      <x:c r="E30" s="6"/>
      <x:c r="F30" s="6"/>
      <x:c r="G30" s="6"/>
      <x:c r="H30" s="6"/>
      <x:c r="I30" s="6"/>
      <x:c r="J30" s="2"/>
      <x:c r="K30" s="2"/>
      <x:c r="L30" s="2"/>
      <x:c r="M30" s="2"/>
    </x:row>
    <x:row r="31" ht="33" customHeight="1">
      <x:c r="A31" s="2"/>
      <x:c r="B31" s="2"/>
      <x:c r="C31" s="16" t="str">
        <x:v>Maximum new investor ownership</x:v>
      </x:c>
      <x:c r="D31" s="21" t="n">
        <x:v>0.2</x:v>
      </x:c>
      <x:c r="E31" s="6"/>
      <x:c r="F31" s="6"/>
      <x:c r="G31" s="6"/>
      <x:c r="H31" s="6"/>
      <x:c r="I31" s="6"/>
      <x:c r="J31" s="2"/>
      <x:c r="K31" s="2"/>
      <x:c r="L31" s="2"/>
      <x:c r="M31" s="2"/>
    </x:row>
    <x:row r="32" ht="33" customHeight="1">
      <x:c r="A32" s="2"/>
      <x:c r="B32" s="2"/>
      <x:c r="C32" s="16" t="str">
        <x:v>Required outcome</x:v>
      </x:c>
      <x:c r="D32" s="17" t="str">
        <x:v>Assumption: acquire distribution capability</x:v>
      </x:c>
      <x:c r="E32" s="6"/>
      <x:c r="F32" s="6"/>
      <x:c r="G32" s="6"/>
      <x:c r="H32" s="6"/>
      <x:c r="I32" s="6"/>
      <x:c r="J32" s="2"/>
      <x:c r="K32" s="2"/>
      <x:c r="L32" s="2"/>
      <x:c r="M32" s="2"/>
    </x:row>
    <x:row r="33" ht="48" customHeight="1">
      <x:c r="A33" s="2"/>
      <x:c r="B33" s="2"/>
      <x:c r="C33" s="16" t="str">
        <x:v>Main open action</x:v>
      </x:c>
      <x:c r="D33" s="17" t="str">
        <x:v>Replace assumptions, confirm funding and run Downside</x:v>
      </x:c>
      <x:c r="E33" s="6"/>
      <x:c r="F33" s="6"/>
      <x:c r="G33" s="6"/>
      <x:c r="H33" s="6"/>
      <x:c r="I33" s="6"/>
      <x:c r="J33" s="2"/>
      <x:c r="K33" s="2"/>
      <x:c r="L33" s="2"/>
      <x:c r="M33" s="2"/>
    </x:row>
    <x:row r="34" ht="33" customHeight="1">
      <x:c r="A34" s="2"/>
      <x:c r="B34" s="2"/>
      <x:c r="C34" s="16" t="str">
        <x:v>Core input status</x:v>
      </x:c>
      <x:c r="D34" s="23" t="str">
        <x:f>IF(OR(D6="",COUNT(D7:D8,D10,D16:D31)&lt;&gt;19,D7&lt;=0,D8&lt;1,D8&gt;3,D8&lt;&gt;INT(D8),D10&lt;1,D10&gt;3,D10&lt;&gt;INT(D10),D16&lt;0,D16&gt;1,D17&lt;=0,D18&lt;0,D19&lt;0,D20&lt;0,D21&lt;0,D21&gt;1,D22&lt;0,MIN(D23:D29)&lt;0,D29&lt;=0,D30&lt;=0,D31&lt;0,D31&gt;1),"Invalid core inputs","Inputs entered")</x:f>
        <x:v>Inputs entered</x:v>
      </x:c>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2"/>
      <x:c r="D36" s="6"/>
      <x:c r="E36" s="6"/>
      <x:c r="F36" s="6"/>
      <x:c r="G36" s="6"/>
      <x:c r="H36" s="6"/>
      <x:c r="I36" s="6"/>
      <x:c r="J36" s="2"/>
      <x:c r="K36" s="2"/>
      <x:c r="L36" s="2"/>
      <x:c r="M36" s="2"/>
    </x:row>
    <x:row r="37" ht="25" customHeight="1">
      <x:c r="A37" s="2"/>
      <x:c r="B37" s="2"/>
      <x:c r="C37" s="2"/>
      <x:c r="D37" s="6"/>
      <x:c r="E37" s="6"/>
      <x:c r="F37" s="6"/>
      <x:c r="G37" s="6"/>
      <x:c r="H37" s="6"/>
      <x:c r="I37" s="6"/>
      <x:c r="J37" s="2"/>
      <x:c r="K37" s="2"/>
      <x:c r="L37" s="2"/>
      <x:c r="M37" s="2"/>
    </x:row>
    <x:row r="38" ht="38" customHeight="1">
      <x:c r="A38" s="2"/>
      <x:c r="B38" s="2"/>
      <x:c r="C38" s="30" t="str">
        <x:v>Annual assumption</x:v>
      </x:c>
      <x:c r="D38" s="31" t="str">
        <x:v>Selection</x:v>
      </x:c>
      <x:c r="E38" s="31" t="str">
        <x:v>Year 1</x:v>
      </x:c>
      <x:c r="F38" s="31" t="str">
        <x:v>Year 2</x:v>
      </x:c>
      <x:c r="G38" s="31" t="str">
        <x:v>Year 3</x:v>
      </x:c>
      <x:c r="H38" s="31" t="str">
        <x:v>Year 4</x:v>
      </x:c>
      <x:c r="I38" s="31" t="str">
        <x:v>Year 5</x:v>
      </x:c>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32" t="str">
        <x:v>Target revenue</x:v>
      </x:c>
      <x:c r="D40" s="33" t="str">
        <x:v>Active selection</x:v>
      </x:c>
      <x:c r="E40" s="34" t="n">
        <x:f>IF($D$9="Invalid case","",IF(CHOOSE($D$8,ISNUMBER(E41),ISNUMBER(E42),ISNUMBER(E43)),CHOOSE($D$8,E41,E42,E43),""))</x:f>
        <x:v>30</x:v>
      </x:c>
      <x:c r="F40" s="34" t="n">
        <x:f>IF($D$9="Invalid case","",IF(CHOOSE($D$8,ISNUMBER(F41),ISNUMBER(F42),ISNUMBER(F43)),CHOOSE($D$8,F41,F42,F43),""))</x:f>
        <x:v>33</x:v>
      </x:c>
      <x:c r="G40" s="34" t="n">
        <x:f>IF($D$9="Invalid case","",IF(CHOOSE($D$8,ISNUMBER(G41),ISNUMBER(G42),ISNUMBER(G43)),CHOOSE($D$8,G41,G42,G43),""))</x:f>
        <x:v>36</x:v>
      </x:c>
      <x:c r="H40" s="34" t="n">
        <x:f>IF($D$9="Invalid case","",IF(CHOOSE($D$8,ISNUMBER(H41),ISNUMBER(H42),ISNUMBER(H43)),CHOOSE($D$8,H41,H42,H43),""))</x:f>
        <x:v>39</x:v>
      </x:c>
      <x:c r="I40" s="34" t="n">
        <x:f>IF($D$9="Invalid case","",IF(CHOOSE($D$8,ISNUMBER(I41),ISNUMBER(I42),ISNUMBER(I43)),CHOOSE($D$8,I41,I42,I43),""))</x:f>
        <x:v>42</x:v>
      </x:c>
      <x:c r="J40" s="2"/>
      <x:c r="K40" s="2"/>
      <x:c r="L40" s="2"/>
      <x:c r="M40" s="2"/>
    </x:row>
    <x:row r="41" ht="25" customHeight="1">
      <x:c r="A41" s="2"/>
      <x:c r="B41" s="2"/>
      <x:c r="C41" s="2"/>
      <x:c r="D41" s="6" t="str">
        <x:v>Base</x:v>
      </x:c>
      <x:c r="E41" s="9" t="n">
        <x:v>30</x:v>
      </x:c>
      <x:c r="F41" s="9" t="n">
        <x:v>33</x:v>
      </x:c>
      <x:c r="G41" s="9" t="n">
        <x:v>36</x:v>
      </x:c>
      <x:c r="H41" s="9" t="n">
        <x:v>39</x:v>
      </x:c>
      <x:c r="I41" s="9" t="n">
        <x:v>42</x:v>
      </x:c>
      <x:c r="J41" s="2"/>
      <x:c r="K41" s="2"/>
      <x:c r="L41" s="2"/>
      <x:c r="M41" s="2"/>
    </x:row>
    <x:row r="42" ht="25" customHeight="1">
      <x:c r="A42" s="2"/>
      <x:c r="B42" s="2"/>
      <x:c r="C42" s="2"/>
      <x:c r="D42" s="6" t="str">
        <x:v>Downside</x:v>
      </x:c>
      <x:c r="E42" s="9" t="n">
        <x:v>27</x:v>
      </x:c>
      <x:c r="F42" s="9" t="n">
        <x:v>27</x:v>
      </x:c>
      <x:c r="G42" s="9" t="n">
        <x:v>28</x:v>
      </x:c>
      <x:c r="H42" s="9" t="n">
        <x:v>29</x:v>
      </x:c>
      <x:c r="I42" s="9" t="n">
        <x:v>30</x:v>
      </x:c>
      <x:c r="J42" s="2"/>
      <x:c r="K42" s="2"/>
      <x:c r="L42" s="2"/>
      <x:c r="M42" s="2"/>
    </x:row>
    <x:row r="43" ht="25" customHeight="1">
      <x:c r="A43" s="2"/>
      <x:c r="B43" s="2"/>
      <x:c r="C43" s="2"/>
      <x:c r="D43" s="6" t="str">
        <x:v>Upside</x:v>
      </x:c>
      <x:c r="E43" s="9" t="n">
        <x:v>33</x:v>
      </x:c>
      <x:c r="F43" s="9" t="n">
        <x:v>37</x:v>
      </x:c>
      <x:c r="G43" s="9" t="n">
        <x:v>42</x:v>
      </x:c>
      <x:c r="H43" s="9" t="n">
        <x:v>47</x:v>
      </x:c>
      <x:c r="I43" s="9" t="n">
        <x:v>52</x:v>
      </x:c>
      <x:c r="J43" s="2"/>
      <x:c r="K43" s="2"/>
      <x:c r="L43" s="2"/>
      <x:c r="M43" s="2"/>
    </x:row>
    <x:row r="44" ht="25" customHeight="1">
      <x:c r="A44" s="2"/>
      <x:c r="B44" s="2"/>
      <x:c r="C44" s="32" t="str">
        <x:v>Target EBITDA margin</x:v>
      </x:c>
      <x:c r="D44" s="33" t="str">
        <x:v>Active selection</x:v>
      </x:c>
      <x:c r="E44" s="35" t="n">
        <x:f>IF($D$9="Invalid case","",IF(CHOOSE($D$8,ISNUMBER(E45),ISNUMBER(E46),ISNUMBER(E47)),CHOOSE($D$8,E45,E46,E47),""))</x:f>
        <x:v>0.2</x:v>
      </x:c>
      <x:c r="F44" s="35" t="n">
        <x:f>IF($D$9="Invalid case","",IF(CHOOSE($D$8,ISNUMBER(F45),ISNUMBER(F46),ISNUMBER(F47)),CHOOSE($D$8,F45,F46,F47),""))</x:f>
        <x:v>0.21</x:v>
      </x:c>
      <x:c r="G44" s="35" t="n">
        <x:f>IF($D$9="Invalid case","",IF(CHOOSE($D$8,ISNUMBER(G45),ISNUMBER(G46),ISNUMBER(G47)),CHOOSE($D$8,G45,G46,G47),""))</x:f>
        <x:v>0.22</x:v>
      </x:c>
      <x:c r="H44" s="35" t="n">
        <x:f>IF($D$9="Invalid case","",IF(CHOOSE($D$8,ISNUMBER(H45),ISNUMBER(H46),ISNUMBER(H47)),CHOOSE($D$8,H45,H46,H47),""))</x:f>
        <x:v>0.22</x:v>
      </x:c>
      <x:c r="I44" s="35" t="n">
        <x:f>IF($D$9="Invalid case","",IF(CHOOSE($D$8,ISNUMBER(I45),ISNUMBER(I46),ISNUMBER(I47)),CHOOSE($D$8,I45,I46,I47),""))</x:f>
        <x:v>0.22</x:v>
      </x:c>
      <x:c r="J44" s="2"/>
      <x:c r="K44" s="2"/>
      <x:c r="L44" s="2"/>
      <x:c r="M44" s="2"/>
    </x:row>
    <x:row r="45" ht="25" customHeight="1">
      <x:c r="A45" s="2"/>
      <x:c r="B45" s="2"/>
      <x:c r="C45" s="2"/>
      <x:c r="D45" s="6" t="str">
        <x:v>Base</x:v>
      </x:c>
      <x:c r="E45" s="11" t="n">
        <x:v>0.2</x:v>
      </x:c>
      <x:c r="F45" s="11" t="n">
        <x:v>0.21</x:v>
      </x:c>
      <x:c r="G45" s="11" t="n">
        <x:v>0.22</x:v>
      </x:c>
      <x:c r="H45" s="11" t="n">
        <x:v>0.22</x:v>
      </x:c>
      <x:c r="I45" s="11" t="n">
        <x:v>0.22</x:v>
      </x:c>
      <x:c r="J45" s="2"/>
      <x:c r="K45" s="2"/>
      <x:c r="L45" s="2"/>
      <x:c r="M45" s="2"/>
    </x:row>
    <x:row r="46" ht="25" customHeight="1">
      <x:c r="A46" s="2"/>
      <x:c r="B46" s="2"/>
      <x:c r="C46" s="2"/>
      <x:c r="D46" s="6" t="str">
        <x:v>Downside</x:v>
      </x:c>
      <x:c r="E46" s="11" t="n">
        <x:v>0.15</x:v>
      </x:c>
      <x:c r="F46" s="11" t="n">
        <x:v>0.15</x:v>
      </x:c>
      <x:c r="G46" s="11" t="n">
        <x:v>0.16</x:v>
      </x:c>
      <x:c r="H46" s="11" t="n">
        <x:v>0.16</x:v>
      </x:c>
      <x:c r="I46" s="11" t="n">
        <x:v>0.16</x:v>
      </x:c>
      <x:c r="J46" s="2"/>
      <x:c r="K46" s="2"/>
      <x:c r="L46" s="2"/>
      <x:c r="M46" s="2"/>
    </x:row>
    <x:row r="47" ht="25" customHeight="1">
      <x:c r="A47" s="2"/>
      <x:c r="B47" s="2"/>
      <x:c r="C47" s="2"/>
      <x:c r="D47" s="6" t="str">
        <x:v>Upside</x:v>
      </x:c>
      <x:c r="E47" s="11" t="n">
        <x:v>0.22</x:v>
      </x:c>
      <x:c r="F47" s="11" t="n">
        <x:v>0.23</x:v>
      </x:c>
      <x:c r="G47" s="11" t="n">
        <x:v>0.24</x:v>
      </x:c>
      <x:c r="H47" s="11" t="n">
        <x:v>0.24</x:v>
      </x:c>
      <x:c r="I47" s="11" t="n">
        <x:v>0.24</x:v>
      </x:c>
      <x:c r="J47" s="2"/>
      <x:c r="K47" s="2"/>
      <x:c r="L47" s="2"/>
      <x:c r="M47" s="2"/>
    </x:row>
    <x:row r="48" ht="25" customHeight="1">
      <x:c r="A48" s="2"/>
      <x:c r="B48" s="2"/>
      <x:c r="C48" s="32" t="str">
        <x:v>Target depreciation and amortization</x:v>
      </x:c>
      <x:c r="D48" s="33" t="str">
        <x:v>Active selection</x:v>
      </x:c>
      <x:c r="E48" s="34" t="n">
        <x:f>IF($D$9="Invalid case","",IF(CHOOSE($D$8,ISNUMBER(E49),ISNUMBER(E50),ISNUMBER(E51)),CHOOSE($D$8,E49,E50,E51),""))</x:f>
        <x:v>1</x:v>
      </x:c>
      <x:c r="F48" s="34" t="n">
        <x:f>IF($D$9="Invalid case","",IF(CHOOSE($D$8,ISNUMBER(F49),ISNUMBER(F50),ISNUMBER(F51)),CHOOSE($D$8,F49,F50,F51),""))</x:f>
        <x:v>1.1</x:v>
      </x:c>
      <x:c r="G48" s="34" t="n">
        <x:f>IF($D$9="Invalid case","",IF(CHOOSE($D$8,ISNUMBER(G49),ISNUMBER(G50),ISNUMBER(G51)),CHOOSE($D$8,G49,G50,G51),""))</x:f>
        <x:v>1.2</x:v>
      </x:c>
      <x:c r="H48" s="34" t="n">
        <x:f>IF($D$9="Invalid case","",IF(CHOOSE($D$8,ISNUMBER(H49),ISNUMBER(H50),ISNUMBER(H51)),CHOOSE($D$8,H49,H50,H51),""))</x:f>
        <x:v>1.3</x:v>
      </x:c>
      <x:c r="I48" s="34" t="n">
        <x:f>IF($D$9="Invalid case","",IF(CHOOSE($D$8,ISNUMBER(I49),ISNUMBER(I50),ISNUMBER(I51)),CHOOSE($D$8,I49,I50,I51),""))</x:f>
        <x:v>1.4</x:v>
      </x:c>
      <x:c r="J48" s="2"/>
      <x:c r="K48" s="2"/>
      <x:c r="L48" s="2"/>
      <x:c r="M48" s="2"/>
    </x:row>
    <x:row r="49" ht="25" customHeight="1">
      <x:c r="A49" s="2"/>
      <x:c r="B49" s="2"/>
      <x:c r="C49" s="2"/>
      <x:c r="D49" s="6" t="str">
        <x:v>Base</x:v>
      </x:c>
      <x:c r="E49" s="9" t="n">
        <x:v>1</x:v>
      </x:c>
      <x:c r="F49" s="9" t="n">
        <x:v>1.1</x:v>
      </x:c>
      <x:c r="G49" s="9" t="n">
        <x:v>1.2</x:v>
      </x:c>
      <x:c r="H49" s="9" t="n">
        <x:v>1.3</x:v>
      </x:c>
      <x:c r="I49" s="9" t="n">
        <x:v>1.4</x:v>
      </x:c>
      <x:c r="J49" s="2"/>
      <x:c r="K49" s="2"/>
      <x:c r="L49" s="2"/>
      <x:c r="M49" s="2"/>
    </x:row>
    <x:row r="50" ht="25" customHeight="1">
      <x:c r="A50" s="2"/>
      <x:c r="B50" s="2"/>
      <x:c r="C50" s="2"/>
      <x:c r="D50" s="6" t="str">
        <x:v>Downside</x:v>
      </x:c>
      <x:c r="E50" s="9" t="n">
        <x:v>1</x:v>
      </x:c>
      <x:c r="F50" s="9" t="n">
        <x:v>1</x:v>
      </x:c>
      <x:c r="G50" s="9" t="n">
        <x:v>1</x:v>
      </x:c>
      <x:c r="H50" s="9" t="n">
        <x:v>1</x:v>
      </x:c>
      <x:c r="I50" s="9" t="n">
        <x:v>1</x:v>
      </x:c>
      <x:c r="J50" s="2"/>
      <x:c r="K50" s="2"/>
      <x:c r="L50" s="2"/>
      <x:c r="M50" s="2"/>
    </x:row>
    <x:row r="51" ht="25" customHeight="1">
      <x:c r="A51" s="2"/>
      <x:c r="B51" s="2"/>
      <x:c r="C51" s="2"/>
      <x:c r="D51" s="6" t="str">
        <x:v>Upside</x:v>
      </x:c>
      <x:c r="E51" s="9" t="n">
        <x:v>1</x:v>
      </x:c>
      <x:c r="F51" s="9" t="n">
        <x:v>1.2</x:v>
      </x:c>
      <x:c r="G51" s="9" t="n">
        <x:v>1.4</x:v>
      </x:c>
      <x:c r="H51" s="9" t="n">
        <x:v>1.6</x:v>
      </x:c>
      <x:c r="I51" s="9" t="n">
        <x:v>1.8</x:v>
      </x:c>
      <x:c r="J51" s="2"/>
      <x:c r="K51" s="2"/>
      <x:c r="L51" s="2"/>
      <x:c r="M51" s="2"/>
    </x:row>
    <x:row r="52" ht="25" customHeight="1">
      <x:c r="A52" s="2"/>
      <x:c r="B52" s="2"/>
      <x:c r="C52" s="32" t="str">
        <x:v>Target capital expenditure</x:v>
      </x:c>
      <x:c r="D52" s="33" t="str">
        <x:v>Active selection</x:v>
      </x:c>
      <x:c r="E52" s="34" t="n">
        <x:f>IF($D$9="Invalid case","",IF(CHOOSE($D$8,ISNUMBER(E53),ISNUMBER(E54),ISNUMBER(E55)),CHOOSE($D$8,E53,E54,E55),""))</x:f>
        <x:v>1.5</x:v>
      </x:c>
      <x:c r="F52" s="34" t="n">
        <x:f>IF($D$9="Invalid case","",IF(CHOOSE($D$8,ISNUMBER(F53),ISNUMBER(F54),ISNUMBER(F55)),CHOOSE($D$8,F53,F54,F55),""))</x:f>
        <x:v>1.6</x:v>
      </x:c>
      <x:c r="G52" s="34" t="n">
        <x:f>IF($D$9="Invalid case","",IF(CHOOSE($D$8,ISNUMBER(G53),ISNUMBER(G54),ISNUMBER(G55)),CHOOSE($D$8,G53,G54,G55),""))</x:f>
        <x:v>1.7</x:v>
      </x:c>
      <x:c r="H52" s="34" t="n">
        <x:f>IF($D$9="Invalid case","",IF(CHOOSE($D$8,ISNUMBER(H53),ISNUMBER(H54),ISNUMBER(H55)),CHOOSE($D$8,H53,H54,H55),""))</x:f>
        <x:v>1.8</x:v>
      </x:c>
      <x:c r="I52" s="34" t="n">
        <x:f>IF($D$9="Invalid case","",IF(CHOOSE($D$8,ISNUMBER(I53),ISNUMBER(I54),ISNUMBER(I55)),CHOOSE($D$8,I53,I54,I55),""))</x:f>
        <x:v>1.9</x:v>
      </x:c>
      <x:c r="J52" s="2"/>
      <x:c r="K52" s="2"/>
      <x:c r="L52" s="2"/>
      <x:c r="M52" s="2"/>
    </x:row>
    <x:row r="53" ht="25" customHeight="1">
      <x:c r="A53" s="2"/>
      <x:c r="B53" s="2"/>
      <x:c r="C53" s="2"/>
      <x:c r="D53" s="6" t="str">
        <x:v>Base</x:v>
      </x:c>
      <x:c r="E53" s="9" t="n">
        <x:v>1.5</x:v>
      </x:c>
      <x:c r="F53" s="9" t="n">
        <x:v>1.6</x:v>
      </x:c>
      <x:c r="G53" s="9" t="n">
        <x:v>1.7</x:v>
      </x:c>
      <x:c r="H53" s="9" t="n">
        <x:v>1.8</x:v>
      </x:c>
      <x:c r="I53" s="9" t="n">
        <x:v>1.9</x:v>
      </x:c>
      <x:c r="J53" s="2"/>
      <x:c r="K53" s="2"/>
      <x:c r="L53" s="2"/>
      <x:c r="M53" s="2"/>
    </x:row>
    <x:row r="54" ht="25" customHeight="1">
      <x:c r="A54" s="2"/>
      <x:c r="B54" s="2"/>
      <x:c r="C54" s="2"/>
      <x:c r="D54" s="6" t="str">
        <x:v>Downside</x:v>
      </x:c>
      <x:c r="E54" s="9" t="n">
        <x:v>1.5</x:v>
      </x:c>
      <x:c r="F54" s="9" t="n">
        <x:v>1.5</x:v>
      </x:c>
      <x:c r="G54" s="9" t="n">
        <x:v>1.5</x:v>
      </x:c>
      <x:c r="H54" s="9" t="n">
        <x:v>1.5</x:v>
      </x:c>
      <x:c r="I54" s="9" t="n">
        <x:v>1.5</x:v>
      </x:c>
      <x:c r="J54" s="2"/>
      <x:c r="K54" s="2"/>
      <x:c r="L54" s="2"/>
      <x:c r="M54" s="2"/>
    </x:row>
    <x:row r="55" ht="25" customHeight="1">
      <x:c r="A55" s="2"/>
      <x:c r="B55" s="2"/>
      <x:c r="C55" s="2"/>
      <x:c r="D55" s="6" t="str">
        <x:v>Upside</x:v>
      </x:c>
      <x:c r="E55" s="9" t="n">
        <x:v>1.8</x:v>
      </x:c>
      <x:c r="F55" s="9" t="n">
        <x:v>2</x:v>
      </x:c>
      <x:c r="G55" s="9" t="n">
        <x:v>2.2</x:v>
      </x:c>
      <x:c r="H55" s="9" t="n">
        <x:v>2.4</x:v>
      </x:c>
      <x:c r="I55" s="9" t="n">
        <x:v>2.6</x:v>
      </x:c>
      <x:c r="J55" s="2"/>
      <x:c r="K55" s="2"/>
      <x:c r="L55" s="2"/>
      <x:c r="M55" s="2"/>
    </x:row>
    <x:row r="56" ht="25" customHeight="1">
      <x:c r="A56" s="2"/>
      <x:c r="B56" s="2"/>
      <x:c r="C56" s="32" t="str">
        <x:v>Increase in target working capital</x:v>
      </x:c>
      <x:c r="D56" s="33" t="str">
        <x:v>Active selection</x:v>
      </x:c>
      <x:c r="E56" s="34" t="n">
        <x:f>IF($D$9="Invalid case","",IF(CHOOSE($D$8,ISNUMBER(E57),ISNUMBER(E58),ISNUMBER(E59)),CHOOSE($D$8,E57,E58,E59),""))</x:f>
        <x:v>0.5</x:v>
      </x:c>
      <x:c r="F56" s="34" t="n">
        <x:f>IF($D$9="Invalid case","",IF(CHOOSE($D$8,ISNUMBER(F57),ISNUMBER(F58),ISNUMBER(F59)),CHOOSE($D$8,F57,F58,F59),""))</x:f>
        <x:v>0.5</x:v>
      </x:c>
      <x:c r="G56" s="34" t="n">
        <x:f>IF($D$9="Invalid case","",IF(CHOOSE($D$8,ISNUMBER(G57),ISNUMBER(G58),ISNUMBER(G59)),CHOOSE($D$8,G57,G58,G59),""))</x:f>
        <x:v>0.5</x:v>
      </x:c>
      <x:c r="H56" s="34" t="n">
        <x:f>IF($D$9="Invalid case","",IF(CHOOSE($D$8,ISNUMBER(H57),ISNUMBER(H58),ISNUMBER(H59)),CHOOSE($D$8,H57,H58,H59),""))</x:f>
        <x:v>0.5</x:v>
      </x:c>
      <x:c r="I56" s="34" t="n">
        <x:f>IF($D$9="Invalid case","",IF(CHOOSE($D$8,ISNUMBER(I57),ISNUMBER(I58),ISNUMBER(I59)),CHOOSE($D$8,I57,I58,I59),""))</x:f>
        <x:v>0.5</x:v>
      </x:c>
      <x:c r="J56" s="2"/>
      <x:c r="K56" s="2"/>
      <x:c r="L56" s="2"/>
      <x:c r="M56" s="2"/>
    </x:row>
    <x:row r="57" ht="25" customHeight="1">
      <x:c r="A57" s="2"/>
      <x:c r="B57" s="2"/>
      <x:c r="C57" s="2"/>
      <x:c r="D57" s="6" t="str">
        <x:v>Base</x:v>
      </x:c>
      <x:c r="E57" s="9" t="n">
        <x:v>0.5</x:v>
      </x:c>
      <x:c r="F57" s="9" t="n">
        <x:v>0.5</x:v>
      </x:c>
      <x:c r="G57" s="9" t="n">
        <x:v>0.5</x:v>
      </x:c>
      <x:c r="H57" s="9" t="n">
        <x:v>0.5</x:v>
      </x:c>
      <x:c r="I57" s="9" t="n">
        <x:v>0.5</x:v>
      </x:c>
      <x:c r="J57" s="2"/>
      <x:c r="K57" s="2"/>
      <x:c r="L57" s="2"/>
      <x:c r="M57" s="2"/>
    </x:row>
    <x:row r="58" ht="25" customHeight="1">
      <x:c r="A58" s="2"/>
      <x:c r="B58" s="2"/>
      <x:c r="C58" s="2"/>
      <x:c r="D58" s="6" t="str">
        <x:v>Downside</x:v>
      </x:c>
      <x:c r="E58" s="9" t="n">
        <x:v>0.5</x:v>
      </x:c>
      <x:c r="F58" s="9" t="n">
        <x:v>0.3</x:v>
      </x:c>
      <x:c r="G58" s="9" t="n">
        <x:v>0.3</x:v>
      </x:c>
      <x:c r="H58" s="9" t="n">
        <x:v>0.3</x:v>
      </x:c>
      <x:c r="I58" s="9" t="n">
        <x:v>0.3</x:v>
      </x:c>
      <x:c r="J58" s="2"/>
      <x:c r="K58" s="2"/>
      <x:c r="L58" s="2"/>
      <x:c r="M58" s="2"/>
    </x:row>
    <x:row r="59" ht="25" customHeight="1">
      <x:c r="A59" s="2"/>
      <x:c r="B59" s="2"/>
      <x:c r="C59" s="2"/>
      <x:c r="D59" s="6" t="str">
        <x:v>Upside</x:v>
      </x:c>
      <x:c r="E59" s="9" t="n">
        <x:v>0.7</x:v>
      </x:c>
      <x:c r="F59" s="9" t="n">
        <x:v>0.8</x:v>
      </x:c>
      <x:c r="G59" s="9" t="n">
        <x:v>0.9</x:v>
      </x:c>
      <x:c r="H59" s="9" t="n">
        <x:v>1</x:v>
      </x:c>
      <x:c r="I59" s="9" t="n">
        <x:v>1.1</x:v>
      </x:c>
      <x:c r="J59" s="2"/>
      <x:c r="K59" s="2"/>
      <x:c r="L59" s="2"/>
      <x:c r="M59" s="2"/>
    </x:row>
    <x:row r="60" ht="25" customHeight="1">
      <x:c r="A60" s="2"/>
      <x:c r="B60" s="2"/>
      <x:c r="C60" s="32" t="str">
        <x:v>Target follow-on investment</x:v>
      </x:c>
      <x:c r="D60" s="33" t="str">
        <x:v>Active selection</x:v>
      </x:c>
      <x:c r="E60" s="34" t="n">
        <x:f>IF($D$9="Invalid case","",IF(CHOOSE($D$8,ISNUMBER(E61),ISNUMBER(E62),ISNUMBER(E63)),CHOOSE($D$8,E61,E62,E63),""))</x:f>
        <x:v>1</x:v>
      </x:c>
      <x:c r="F60" s="34" t="n">
        <x:f>IF($D$9="Invalid case","",IF(CHOOSE($D$8,ISNUMBER(F61),ISNUMBER(F62),ISNUMBER(F63)),CHOOSE($D$8,F61,F62,F63),""))</x:f>
        <x:v>1</x:v>
      </x:c>
      <x:c r="G60" s="34" t="n">
        <x:f>IF($D$9="Invalid case","",IF(CHOOSE($D$8,ISNUMBER(G61),ISNUMBER(G62),ISNUMBER(G63)),CHOOSE($D$8,G61,G62,G63),""))</x:f>
        <x:v>0</x:v>
      </x:c>
      <x:c r="H60" s="34" t="n">
        <x:f>IF($D$9="Invalid case","",IF(CHOOSE($D$8,ISNUMBER(H61),ISNUMBER(H62),ISNUMBER(H63)),CHOOSE($D$8,H61,H62,H63),""))</x:f>
        <x:v>0</x:v>
      </x:c>
      <x:c r="I60" s="34" t="n">
        <x:f>IF($D$9="Invalid case","",IF(CHOOSE($D$8,ISNUMBER(I61),ISNUMBER(I62),ISNUMBER(I63)),CHOOSE($D$8,I61,I62,I63),""))</x:f>
        <x:v>0</x:v>
      </x:c>
      <x:c r="J60" s="2"/>
      <x:c r="K60" s="2"/>
      <x:c r="L60" s="2"/>
      <x:c r="M60" s="2"/>
    </x:row>
    <x:row r="61" ht="25" customHeight="1">
      <x:c r="A61" s="2"/>
      <x:c r="B61" s="2"/>
      <x:c r="C61" s="2"/>
      <x:c r="D61" s="6" t="str">
        <x:v>Base</x:v>
      </x:c>
      <x:c r="E61" s="9" t="n">
        <x:v>1</x:v>
      </x:c>
      <x:c r="F61" s="9" t="n">
        <x:v>1</x:v>
      </x:c>
      <x:c r="G61" s="9" t="n">
        <x:v>0</x:v>
      </x:c>
      <x:c r="H61" s="9" t="n">
        <x:v>0</x:v>
      </x:c>
      <x:c r="I61" s="9" t="n">
        <x:v>0</x:v>
      </x:c>
      <x:c r="J61" s="2"/>
      <x:c r="K61" s="2"/>
      <x:c r="L61" s="2"/>
      <x:c r="M61" s="2"/>
    </x:row>
    <x:row r="62" ht="25" customHeight="1">
      <x:c r="A62" s="2"/>
      <x:c r="B62" s="2"/>
      <x:c r="C62" s="2"/>
      <x:c r="D62" s="6" t="str">
        <x:v>Downside</x:v>
      </x:c>
      <x:c r="E62" s="9" t="n">
        <x:v>2</x:v>
      </x:c>
      <x:c r="F62" s="9" t="n">
        <x:v>1</x:v>
      </x:c>
      <x:c r="G62" s="9" t="n">
        <x:v>1</x:v>
      </x:c>
      <x:c r="H62" s="9" t="n">
        <x:v>0</x:v>
      </x:c>
      <x:c r="I62" s="9" t="n">
        <x:v>0</x:v>
      </x:c>
      <x:c r="J62" s="2"/>
      <x:c r="K62" s="2"/>
      <x:c r="L62" s="2"/>
      <x:c r="M62" s="2"/>
    </x:row>
    <x:row r="63" ht="25" customHeight="1">
      <x:c r="A63" s="2"/>
      <x:c r="B63" s="2"/>
      <x:c r="C63" s="2"/>
      <x:c r="D63" s="6" t="str">
        <x:v>Upside</x:v>
      </x:c>
      <x:c r="E63" s="9" t="n">
        <x:v>1</x:v>
      </x:c>
      <x:c r="F63" s="9" t="n">
        <x:v>1</x:v>
      </x:c>
      <x:c r="G63" s="9" t="n">
        <x:v>1</x:v>
      </x:c>
      <x:c r="H63" s="9" t="n">
        <x:v>0</x:v>
      </x:c>
      <x:c r="I63" s="9" t="n">
        <x:v>0</x:v>
      </x:c>
      <x:c r="J63" s="2"/>
      <x:c r="K63" s="2"/>
      <x:c r="L63" s="2"/>
      <x:c r="M63" s="2"/>
    </x:row>
    <x:row r="64" ht="25" customHeight="1">
      <x:c r="A64" s="2"/>
      <x:c r="B64" s="2"/>
      <x:c r="C64" s="32" t="str">
        <x:v>Net buyer synergy cash flow</x:v>
      </x:c>
      <x:c r="D64" s="33" t="str">
        <x:v>Active selection</x:v>
      </x:c>
      <x:c r="E64" s="34" t="n">
        <x:f>IF($D$9="Invalid case","",IF(CHOOSE($D$8,ISNUMBER(E65),ISNUMBER(E66),ISNUMBER(E67)),CHOOSE($D$8,E65,E66,E67),""))</x:f>
        <x:v>0.5</x:v>
      </x:c>
      <x:c r="F64" s="34" t="n">
        <x:f>IF($D$9="Invalid case","",IF(CHOOSE($D$8,ISNUMBER(F65),ISNUMBER(F66),ISNUMBER(F67)),CHOOSE($D$8,F65,F66,F67),""))</x:f>
        <x:v>1</x:v>
      </x:c>
      <x:c r="G64" s="34" t="n">
        <x:f>IF($D$9="Invalid case","",IF(CHOOSE($D$8,ISNUMBER(G65),ISNUMBER(G66),ISNUMBER(G67)),CHOOSE($D$8,G65,G66,G67),""))</x:f>
        <x:v>1.5</x:v>
      </x:c>
      <x:c r="H64" s="34" t="n">
        <x:f>IF($D$9="Invalid case","",IF(CHOOSE($D$8,ISNUMBER(H65),ISNUMBER(H66),ISNUMBER(H67)),CHOOSE($D$8,H65,H66,H67),""))</x:f>
        <x:v>2</x:v>
      </x:c>
      <x:c r="I64" s="34" t="n">
        <x:f>IF($D$9="Invalid case","",IF(CHOOSE($D$8,ISNUMBER(I65),ISNUMBER(I66),ISNUMBER(I67)),CHOOSE($D$8,I65,I66,I67),""))</x:f>
        <x:v>2</x:v>
      </x:c>
      <x:c r="J64" s="2"/>
      <x:c r="K64" s="2"/>
      <x:c r="L64" s="2"/>
      <x:c r="M64" s="2"/>
    </x:row>
    <x:row r="65" ht="25" customHeight="1">
      <x:c r="A65" s="2"/>
      <x:c r="B65" s="2"/>
      <x:c r="C65" s="2"/>
      <x:c r="D65" s="6" t="str">
        <x:v>Base</x:v>
      </x:c>
      <x:c r="E65" s="9" t="n">
        <x:v>0.5</x:v>
      </x:c>
      <x:c r="F65" s="9" t="n">
        <x:v>1</x:v>
      </x:c>
      <x:c r="G65" s="9" t="n">
        <x:v>1.5</x:v>
      </x:c>
      <x:c r="H65" s="9" t="n">
        <x:v>2</x:v>
      </x:c>
      <x:c r="I65" s="9" t="n">
        <x:v>2</x:v>
      </x:c>
      <x:c r="J65" s="2"/>
      <x:c r="K65" s="2"/>
      <x:c r="L65" s="2"/>
      <x:c r="M65" s="2"/>
    </x:row>
    <x:row r="66" ht="25" customHeight="1">
      <x:c r="A66" s="2"/>
      <x:c r="B66" s="2"/>
      <x:c r="C66" s="2"/>
      <x:c r="D66" s="6" t="str">
        <x:v>Downside</x:v>
      </x:c>
      <x:c r="E66" s="9" t="n">
        <x:v>0</x:v>
      </x:c>
      <x:c r="F66" s="9" t="n">
        <x:v>0.3</x:v>
      </x:c>
      <x:c r="G66" s="9" t="n">
        <x:v>0.5</x:v>
      </x:c>
      <x:c r="H66" s="9" t="n">
        <x:v>0.8</x:v>
      </x:c>
      <x:c r="I66" s="9" t="n">
        <x:v>1</x:v>
      </x:c>
      <x:c r="J66" s="2"/>
      <x:c r="K66" s="2"/>
      <x:c r="L66" s="2"/>
      <x:c r="M66" s="2"/>
    </x:row>
    <x:row r="67" ht="25" customHeight="1">
      <x:c r="A67" s="2"/>
      <x:c r="B67" s="2"/>
      <x:c r="C67" s="2"/>
      <x:c r="D67" s="6" t="str">
        <x:v>Upside</x:v>
      </x:c>
      <x:c r="E67" s="9" t="n">
        <x:v>0.8</x:v>
      </x:c>
      <x:c r="F67" s="9" t="n">
        <x:v>1.5</x:v>
      </x:c>
      <x:c r="G67" s="9" t="n">
        <x:v>2</x:v>
      </x:c>
      <x:c r="H67" s="9" t="n">
        <x:v>2.5</x:v>
      </x:c>
      <x:c r="I67" s="9" t="n">
        <x:v>3</x:v>
      </x:c>
      <x:c r="J67" s="2"/>
      <x:c r="K67" s="2"/>
      <x:c r="L67" s="2"/>
      <x:c r="M67" s="2"/>
    </x:row>
    <x:row r="68" ht="25" customHeight="1">
      <x:c r="A68" s="2"/>
      <x:c r="B68" s="2"/>
      <x:c r="C68" s="32" t="str">
        <x:v>Buyer standalone EBITDA</x:v>
      </x:c>
      <x:c r="D68" s="33" t="str">
        <x:v>Active selection</x:v>
      </x:c>
      <x:c r="E68" s="34" t="n">
        <x:f>IF($D$9="Invalid case","",IF(CHOOSE($D$8,ISNUMBER(E69),ISNUMBER(E70),ISNUMBER(E71)),CHOOSE($D$8,E69,E70,E71),""))</x:f>
        <x:v>12</x:v>
      </x:c>
      <x:c r="F68" s="34" t="n">
        <x:f>IF($D$9="Invalid case","",IF(CHOOSE($D$8,ISNUMBER(F69),ISNUMBER(F70),ISNUMBER(F71)),CHOOSE($D$8,F69,F70,F71),""))</x:f>
        <x:v>13</x:v>
      </x:c>
      <x:c r="G68" s="34" t="n">
        <x:f>IF($D$9="Invalid case","",IF(CHOOSE($D$8,ISNUMBER(G69),ISNUMBER(G70),ISNUMBER(G71)),CHOOSE($D$8,G69,G70,G71),""))</x:f>
        <x:v>14</x:v>
      </x:c>
      <x:c r="H68" s="34" t="n">
        <x:f>IF($D$9="Invalid case","",IF(CHOOSE($D$8,ISNUMBER(H69),ISNUMBER(H70),ISNUMBER(H71)),CHOOSE($D$8,H69,H70,H71),""))</x:f>
        <x:v>15</x:v>
      </x:c>
      <x:c r="I68" s="34" t="n">
        <x:f>IF($D$9="Invalid case","",IF(CHOOSE($D$8,ISNUMBER(I69),ISNUMBER(I70),ISNUMBER(I71)),CHOOSE($D$8,I69,I70,I71),""))</x:f>
        <x:v>16</x:v>
      </x:c>
      <x:c r="J68" s="2"/>
      <x:c r="K68" s="2"/>
      <x:c r="L68" s="2"/>
      <x:c r="M68" s="2"/>
    </x:row>
    <x:row r="69" ht="25" customHeight="1">
      <x:c r="A69" s="2"/>
      <x:c r="B69" s="2"/>
      <x:c r="C69" s="2"/>
      <x:c r="D69" s="6" t="str">
        <x:v>Base</x:v>
      </x:c>
      <x:c r="E69" s="9" t="n">
        <x:v>12</x:v>
      </x:c>
      <x:c r="F69" s="9" t="n">
        <x:v>13</x:v>
      </x:c>
      <x:c r="G69" s="9" t="n">
        <x:v>14</x:v>
      </x:c>
      <x:c r="H69" s="9" t="n">
        <x:v>15</x:v>
      </x:c>
      <x:c r="I69" s="9" t="n">
        <x:v>16</x:v>
      </x:c>
      <x:c r="J69" s="2"/>
      <x:c r="K69" s="2"/>
      <x:c r="L69" s="2"/>
      <x:c r="M69" s="2"/>
    </x:row>
    <x:row r="70" ht="25" customHeight="1">
      <x:c r="A70" s="2"/>
      <x:c r="B70" s="2"/>
      <x:c r="C70" s="2"/>
      <x:c r="D70" s="6" t="str">
        <x:v>Downside</x:v>
      </x:c>
      <x:c r="E70" s="9" t="n">
        <x:v>10</x:v>
      </x:c>
      <x:c r="F70" s="9" t="n">
        <x:v>10</x:v>
      </x:c>
      <x:c r="G70" s="9" t="n">
        <x:v>10</x:v>
      </x:c>
      <x:c r="H70" s="9" t="n">
        <x:v>11</x:v>
      </x:c>
      <x:c r="I70" s="9" t="n">
        <x:v>11</x:v>
      </x:c>
      <x:c r="J70" s="2"/>
      <x:c r="K70" s="2"/>
      <x:c r="L70" s="2"/>
      <x:c r="M70" s="2"/>
    </x:row>
    <x:row r="71" ht="25" customHeight="1">
      <x:c r="A71" s="2"/>
      <x:c r="B71" s="2"/>
      <x:c r="C71" s="2"/>
      <x:c r="D71" s="6" t="str">
        <x:v>Upside</x:v>
      </x:c>
      <x:c r="E71" s="9" t="n">
        <x:v>13</x:v>
      </x:c>
      <x:c r="F71" s="9" t="n">
        <x:v>14</x:v>
      </x:c>
      <x:c r="G71" s="9" t="n">
        <x:v>16</x:v>
      </x:c>
      <x:c r="H71" s="9" t="n">
        <x:v>18</x:v>
      </x:c>
      <x:c r="I71" s="9" t="n">
        <x:v>20</x:v>
      </x:c>
      <x:c r="J71" s="2"/>
      <x:c r="K71" s="2"/>
      <x:c r="L71" s="2"/>
      <x:c r="M71" s="2"/>
    </x:row>
    <x:row r="72" ht="25" customHeight="1">
      <x:c r="A72" s="2"/>
      <x:c r="B72" s="2"/>
      <x:c r="C72" s="32" t="str">
        <x:v>Buyer cash flow before debt service</x:v>
      </x:c>
      <x:c r="D72" s="33" t="str">
        <x:v>Active selection</x:v>
      </x:c>
      <x:c r="E72" s="34" t="n">
        <x:f>IF($D$9="Invalid case","",IF(CHOOSE($D$8,ISNUMBER(E73),ISNUMBER(E74),ISNUMBER(E75)),CHOOSE($D$8,E73,E74,E75),""))</x:f>
        <x:v>7</x:v>
      </x:c>
      <x:c r="F72" s="34" t="n">
        <x:f>IF($D$9="Invalid case","",IF(CHOOSE($D$8,ISNUMBER(F73),ISNUMBER(F74),ISNUMBER(F75)),CHOOSE($D$8,F73,F74,F75),""))</x:f>
        <x:v>8</x:v>
      </x:c>
      <x:c r="G72" s="34" t="n">
        <x:f>IF($D$9="Invalid case","",IF(CHOOSE($D$8,ISNUMBER(G73),ISNUMBER(G74),ISNUMBER(G75)),CHOOSE($D$8,G73,G74,G75),""))</x:f>
        <x:v>9</x:v>
      </x:c>
      <x:c r="H72" s="34" t="n">
        <x:f>IF($D$9="Invalid case","",IF(CHOOSE($D$8,ISNUMBER(H73),ISNUMBER(H74),ISNUMBER(H75)),CHOOSE($D$8,H73,H74,H75),""))</x:f>
        <x:v>10</x:v>
      </x:c>
      <x:c r="I72" s="34" t="n">
        <x:f>IF($D$9="Invalid case","",IF(CHOOSE($D$8,ISNUMBER(I73),ISNUMBER(I74),ISNUMBER(I75)),CHOOSE($D$8,I73,I74,I75),""))</x:f>
        <x:v>11</x:v>
      </x:c>
      <x:c r="J72" s="2"/>
      <x:c r="K72" s="2"/>
      <x:c r="L72" s="2"/>
      <x:c r="M72" s="2"/>
    </x:row>
    <x:row r="73" ht="25" customHeight="1">
      <x:c r="A73" s="2"/>
      <x:c r="B73" s="2"/>
      <x:c r="C73" s="2"/>
      <x:c r="D73" s="6" t="str">
        <x:v>Base</x:v>
      </x:c>
      <x:c r="E73" s="9" t="n">
        <x:v>7</x:v>
      </x:c>
      <x:c r="F73" s="9" t="n">
        <x:v>8</x:v>
      </x:c>
      <x:c r="G73" s="9" t="n">
        <x:v>9</x:v>
      </x:c>
      <x:c r="H73" s="9" t="n">
        <x:v>10</x:v>
      </x:c>
      <x:c r="I73" s="9" t="n">
        <x:v>11</x:v>
      </x:c>
      <x:c r="J73" s="2"/>
      <x:c r="K73" s="2"/>
      <x:c r="L73" s="2"/>
      <x:c r="M73" s="2"/>
    </x:row>
    <x:row r="74" ht="25" customHeight="1">
      <x:c r="A74" s="2"/>
      <x:c r="B74" s="2"/>
      <x:c r="C74" s="2"/>
      <x:c r="D74" s="6" t="str">
        <x:v>Downside</x:v>
      </x:c>
      <x:c r="E74" s="9" t="n">
        <x:v>5</x:v>
      </x:c>
      <x:c r="F74" s="9" t="n">
        <x:v>5</x:v>
      </x:c>
      <x:c r="G74" s="9" t="n">
        <x:v>5</x:v>
      </x:c>
      <x:c r="H74" s="9" t="n">
        <x:v>6</x:v>
      </x:c>
      <x:c r="I74" s="9" t="n">
        <x:v>6</x:v>
      </x:c>
      <x:c r="J74" s="2"/>
      <x:c r="K74" s="2"/>
      <x:c r="L74" s="2"/>
      <x:c r="M74" s="2"/>
    </x:row>
    <x:row r="75" ht="25" customHeight="1">
      <x:c r="A75" s="2"/>
      <x:c r="B75" s="2"/>
      <x:c r="C75" s="2"/>
      <x:c r="D75" s="6" t="str">
        <x:v>Upside</x:v>
      </x:c>
      <x:c r="E75" s="9" t="n">
        <x:v>8</x:v>
      </x:c>
      <x:c r="F75" s="9" t="n">
        <x:v>9</x:v>
      </x:c>
      <x:c r="G75" s="9" t="n">
        <x:v>11</x:v>
      </x:c>
      <x:c r="H75" s="9" t="n">
        <x:v>13</x:v>
      </x:c>
      <x:c r="I75" s="9" t="n">
        <x:v>15</x:v>
      </x:c>
      <x:c r="J75" s="2"/>
      <x:c r="K75" s="2"/>
      <x:c r="L75" s="2"/>
      <x:c r="M75" s="2"/>
    </x:row>
    <x:row r="76" ht="25" customHeight="1">
      <x:c r="A76" s="2"/>
      <x:c r="B76" s="2"/>
      <x:c r="C76" s="32" t="str">
        <x:v>Existing debt principal repaid</x:v>
      </x:c>
      <x:c r="D76" s="33" t="str">
        <x:v>Active selection</x:v>
      </x:c>
      <x:c r="E76" s="34" t="n">
        <x:f>IF($D$9="Invalid case","",IF(CHOOSE($D$8,ISNUMBER(E77),ISNUMBER(E78),ISNUMBER(E79)),CHOOSE($D$8,E77,E78,E79),""))</x:f>
        <x:v>1</x:v>
      </x:c>
      <x:c r="F76" s="34" t="n">
        <x:f>IF($D$9="Invalid case","",IF(CHOOSE($D$8,ISNUMBER(F77),ISNUMBER(F78),ISNUMBER(F79)),CHOOSE($D$8,F77,F78,F79),""))</x:f>
        <x:v>1</x:v>
      </x:c>
      <x:c r="G76" s="34" t="n">
        <x:f>IF($D$9="Invalid case","",IF(CHOOSE($D$8,ISNUMBER(G77),ISNUMBER(G78),ISNUMBER(G79)),CHOOSE($D$8,G77,G78,G79),""))</x:f>
        <x:v>1</x:v>
      </x:c>
      <x:c r="H76" s="34" t="n">
        <x:f>IF($D$9="Invalid case","",IF(CHOOSE($D$8,ISNUMBER(H77),ISNUMBER(H78),ISNUMBER(H79)),CHOOSE($D$8,H77,H78,H79),""))</x:f>
        <x:v>1</x:v>
      </x:c>
      <x:c r="I76" s="34" t="n">
        <x:f>IF($D$9="Invalid case","",IF(CHOOSE($D$8,ISNUMBER(I77),ISNUMBER(I78),ISNUMBER(I79)),CHOOSE($D$8,I77,I78,I79),""))</x:f>
        <x:v>11</x:v>
      </x:c>
      <x:c r="J76" s="2"/>
      <x:c r="K76" s="2"/>
      <x:c r="L76" s="2"/>
      <x:c r="M76" s="2"/>
    </x:row>
    <x:row r="77" ht="25" customHeight="1">
      <x:c r="A77" s="2"/>
      <x:c r="B77" s="2"/>
      <x:c r="C77" s="2"/>
      <x:c r="D77" s="6" t="str">
        <x:v>Base</x:v>
      </x:c>
      <x:c r="E77" s="9" t="n">
        <x:v>1</x:v>
      </x:c>
      <x:c r="F77" s="9" t="n">
        <x:v>1</x:v>
      </x:c>
      <x:c r="G77" s="9" t="n">
        <x:v>1</x:v>
      </x:c>
      <x:c r="H77" s="9" t="n">
        <x:v>1</x:v>
      </x:c>
      <x:c r="I77" s="9" t="n">
        <x:v>11</x:v>
      </x:c>
      <x:c r="J77" s="2"/>
      <x:c r="K77" s="2"/>
      <x:c r="L77" s="2"/>
      <x:c r="M77" s="2"/>
    </x:row>
    <x:row r="78" ht="25" customHeight="1">
      <x:c r="A78" s="2"/>
      <x:c r="B78" s="2"/>
      <x:c r="C78" s="2"/>
      <x:c r="D78" s="6" t="str">
        <x:v>Downside</x:v>
      </x:c>
      <x:c r="E78" s="9" t="n">
        <x:v>1</x:v>
      </x:c>
      <x:c r="F78" s="9" t="n">
        <x:v>1</x:v>
      </x:c>
      <x:c r="G78" s="9" t="n">
        <x:v>1</x:v>
      </x:c>
      <x:c r="H78" s="9" t="n">
        <x:v>1</x:v>
      </x:c>
      <x:c r="I78" s="9" t="n">
        <x:v>11</x:v>
      </x:c>
      <x:c r="J78" s="2"/>
      <x:c r="K78" s="2"/>
      <x:c r="L78" s="2"/>
      <x:c r="M78" s="2"/>
    </x:row>
    <x:row r="79" ht="25" customHeight="1">
      <x:c r="A79" s="2"/>
      <x:c r="B79" s="2"/>
      <x:c r="C79" s="2"/>
      <x:c r="D79" s="6" t="str">
        <x:v>Upside</x:v>
      </x:c>
      <x:c r="E79" s="9" t="n">
        <x:v>1</x:v>
      </x:c>
      <x:c r="F79" s="9" t="n">
        <x:v>1</x:v>
      </x:c>
      <x:c r="G79" s="9" t="n">
        <x:v>1</x:v>
      </x:c>
      <x:c r="H79" s="9" t="n">
        <x:v>1</x:v>
      </x:c>
      <x:c r="I79" s="9" t="n">
        <x:v>11</x:v>
      </x:c>
      <x:c r="J79" s="2"/>
      <x:c r="K79" s="2"/>
      <x:c r="L79" s="2"/>
      <x:c r="M79" s="2"/>
    </x:row>
    <x:row r="80" ht="25" customHeight="1">
      <x:c r="A80" s="2"/>
      <x:c r="B80" s="2"/>
      <x:c r="C80" s="32" t="str">
        <x:v>Build operating cash flow after investment</x:v>
      </x:c>
      <x:c r="D80" s="33" t="str">
        <x:v>Active selection</x:v>
      </x:c>
      <x:c r="E80" s="34" t="n">
        <x:f>IF($D$9="Invalid case","",IF(CHOOSE($D$8,ISNUMBER(E81),ISNUMBER(E82),ISNUMBER(E83)),CHOOSE($D$8,E81,E82,E83),""))</x:f>
        <x:v>-2</x:v>
      </x:c>
      <x:c r="F80" s="34" t="n">
        <x:f>IF($D$9="Invalid case","",IF(CHOOSE($D$8,ISNUMBER(F81),ISNUMBER(F82),ISNUMBER(F83)),CHOOSE($D$8,F81,F82,F83),""))</x:f>
        <x:v>1</x:v>
      </x:c>
      <x:c r="G80" s="34" t="n">
        <x:f>IF($D$9="Invalid case","",IF(CHOOSE($D$8,ISNUMBER(G81),ISNUMBER(G82),ISNUMBER(G83)),CHOOSE($D$8,G81,G82,G83),""))</x:f>
        <x:v>3</x:v>
      </x:c>
      <x:c r="H80" s="34" t="n">
        <x:f>IF($D$9="Invalid case","",IF(CHOOSE($D$8,ISNUMBER(H81),ISNUMBER(H82),ISNUMBER(H83)),CHOOSE($D$8,H81,H82,H83),""))</x:f>
        <x:v>5</x:v>
      </x:c>
      <x:c r="I80" s="34" t="n">
        <x:f>IF($D$9="Invalid case","",IF(CHOOSE($D$8,ISNUMBER(I81),ISNUMBER(I82),ISNUMBER(I83)),CHOOSE($D$8,I81,I82,I83),""))</x:f>
        <x:v>6</x:v>
      </x:c>
      <x:c r="J80" s="2"/>
      <x:c r="K80" s="2"/>
      <x:c r="L80" s="2"/>
      <x:c r="M80" s="2"/>
    </x:row>
    <x:row r="81" ht="25" customHeight="1">
      <x:c r="A81" s="2"/>
      <x:c r="B81" s="2"/>
      <x:c r="C81" s="2"/>
      <x:c r="D81" s="6" t="str">
        <x:v>Base</x:v>
      </x:c>
      <x:c r="E81" s="9" t="n">
        <x:v>-2</x:v>
      </x:c>
      <x:c r="F81" s="9" t="n">
        <x:v>1</x:v>
      </x:c>
      <x:c r="G81" s="9" t="n">
        <x:v>3</x:v>
      </x:c>
      <x:c r="H81" s="9" t="n">
        <x:v>5</x:v>
      </x:c>
      <x:c r="I81" s="9" t="n">
        <x:v>6</x:v>
      </x:c>
      <x:c r="J81" s="2"/>
      <x:c r="K81" s="2"/>
      <x:c r="L81" s="2"/>
      <x:c r="M81" s="2"/>
    </x:row>
    <x:row r="82" ht="25" customHeight="1">
      <x:c r="A82" s="2"/>
      <x:c r="B82" s="2"/>
      <x:c r="C82" s="2"/>
      <x:c r="D82" s="6" t="str">
        <x:v>Downside</x:v>
      </x:c>
      <x:c r="E82" s="9" t="n">
        <x:v>-3</x:v>
      </x:c>
      <x:c r="F82" s="9" t="n">
        <x:v>-1</x:v>
      </x:c>
      <x:c r="G82" s="9" t="n">
        <x:v>1</x:v>
      </x:c>
      <x:c r="H82" s="9" t="n">
        <x:v>2</x:v>
      </x:c>
      <x:c r="I82" s="9" t="n">
        <x:v>3</x:v>
      </x:c>
      <x:c r="J82" s="2"/>
      <x:c r="K82" s="2"/>
      <x:c r="L82" s="2"/>
      <x:c r="M82" s="2"/>
    </x:row>
    <x:row r="83" ht="25" customHeight="1">
      <x:c r="A83" s="2"/>
      <x:c r="B83" s="2"/>
      <x:c r="C83" s="2"/>
      <x:c r="D83" s="6" t="str">
        <x:v>Upside</x:v>
      </x:c>
      <x:c r="E83" s="9" t="n">
        <x:v>-1</x:v>
      </x:c>
      <x:c r="F83" s="9" t="n">
        <x:v>2</x:v>
      </x:c>
      <x:c r="G83" s="9" t="n">
        <x:v>4</x:v>
      </x:c>
      <x:c r="H83" s="9" t="n">
        <x:v>6</x:v>
      </x:c>
      <x:c r="I83" s="9" t="n">
        <x:v>8</x:v>
      </x:c>
      <x:c r="J83" s="2"/>
      <x:c r="K83" s="2"/>
      <x:c r="L83" s="2"/>
      <x:c r="M83" s="2"/>
    </x:row>
    <x:row r="84" ht="25" customHeight="1">
      <x:c r="A84" s="2"/>
      <x:c r="B84" s="2"/>
      <x:c r="C84" s="32" t="str">
        <x:v>Partner operating cash flow after investment</x:v>
      </x:c>
      <x:c r="D84" s="33" t="str">
        <x:v>Active selection</x:v>
      </x:c>
      <x:c r="E84" s="34" t="n">
        <x:f>IF($D$9="Invalid case","",IF(CHOOSE($D$8,ISNUMBER(E85),ISNUMBER(E86),ISNUMBER(E87)),CHOOSE($D$8,E85,E86,E87),""))</x:f>
        <x:v>0.5</x:v>
      </x:c>
      <x:c r="F84" s="34" t="n">
        <x:f>IF($D$9="Invalid case","",IF(CHOOSE($D$8,ISNUMBER(F85),ISNUMBER(F86),ISNUMBER(F87)),CHOOSE($D$8,F85,F86,F87),""))</x:f>
        <x:v>1</x:v>
      </x:c>
      <x:c r="G84" s="34" t="n">
        <x:f>IF($D$9="Invalid case","",IF(CHOOSE($D$8,ISNUMBER(G85),ISNUMBER(G86),ISNUMBER(G87)),CHOOSE($D$8,G85,G86,G87),""))</x:f>
        <x:v>1.5</x:v>
      </x:c>
      <x:c r="H84" s="34" t="n">
        <x:f>IF($D$9="Invalid case","",IF(CHOOSE($D$8,ISNUMBER(H85),ISNUMBER(H86),ISNUMBER(H87)),CHOOSE($D$8,H85,H86,H87),""))</x:f>
        <x:v>2</x:v>
      </x:c>
      <x:c r="I84" s="34" t="n">
        <x:f>IF($D$9="Invalid case","",IF(CHOOSE($D$8,ISNUMBER(I85),ISNUMBER(I86),ISNUMBER(I87)),CHOOSE($D$8,I85,I86,I87),""))</x:f>
        <x:v>2</x:v>
      </x:c>
      <x:c r="J84" s="2"/>
      <x:c r="K84" s="2"/>
      <x:c r="L84" s="2"/>
      <x:c r="M84" s="2"/>
    </x:row>
    <x:row r="85" ht="25" customHeight="1">
      <x:c r="A85" s="2"/>
      <x:c r="B85" s="2"/>
      <x:c r="C85" s="2"/>
      <x:c r="D85" s="6" t="str">
        <x:v>Base</x:v>
      </x:c>
      <x:c r="E85" s="9" t="n">
        <x:v>0.5</x:v>
      </x:c>
      <x:c r="F85" s="9" t="n">
        <x:v>1</x:v>
      </x:c>
      <x:c r="G85" s="9" t="n">
        <x:v>1.5</x:v>
      </x:c>
      <x:c r="H85" s="9" t="n">
        <x:v>2</x:v>
      </x:c>
      <x:c r="I85" s="9" t="n">
        <x:v>2</x:v>
      </x:c>
      <x:c r="J85" s="2"/>
      <x:c r="K85" s="2"/>
      <x:c r="L85" s="2"/>
      <x:c r="M85" s="2"/>
    </x:row>
    <x:row r="86" ht="25" customHeight="1">
      <x:c r="A86" s="2"/>
      <x:c r="B86" s="2"/>
      <x:c r="C86" s="2"/>
      <x:c r="D86" s="6" t="str">
        <x:v>Downside</x:v>
      </x:c>
      <x:c r="E86" s="9" t="n">
        <x:v>0</x:v>
      </x:c>
      <x:c r="F86" s="9" t="n">
        <x:v>0.3</x:v>
      </x:c>
      <x:c r="G86" s="9" t="n">
        <x:v>0.5</x:v>
      </x:c>
      <x:c r="H86" s="9" t="n">
        <x:v>1</x:v>
      </x:c>
      <x:c r="I86" s="9" t="n">
        <x:v>1</x:v>
      </x:c>
      <x:c r="J86" s="2"/>
      <x:c r="K86" s="2"/>
      <x:c r="L86" s="2"/>
      <x:c r="M86" s="2"/>
    </x:row>
    <x:row r="87" ht="25" customHeight="1">
      <x:c r="A87" s="2"/>
      <x:c r="B87" s="2"/>
      <x:c r="C87" s="2"/>
      <x:c r="D87" s="6" t="str">
        <x:v>Upside</x:v>
      </x:c>
      <x:c r="E87" s="9" t="n">
        <x:v>1</x:v>
      </x:c>
      <x:c r="F87" s="9" t="n">
        <x:v>1.5</x:v>
      </x:c>
      <x:c r="G87" s="9" t="n">
        <x:v>2</x:v>
      </x:c>
      <x:c r="H87" s="9" t="n">
        <x:v>2.5</x:v>
      </x:c>
      <x:c r="I87" s="9" t="n">
        <x:v>3</x:v>
      </x:c>
      <x:c r="J87" s="2"/>
      <x:c r="K87" s="2"/>
      <x:c r="L87" s="2"/>
      <x:c r="M87" s="2"/>
    </x:row>
    <x:row r="88" ht="25" customHeight="1">
      <x:c r="A88" s="2"/>
      <x:c r="B88" s="2"/>
      <x:c r="C88" s="32" t="str">
        <x:v>Do nothing incremental operating cash flow</x:v>
      </x:c>
      <x:c r="D88" s="33" t="str">
        <x:v>Active selection</x:v>
      </x:c>
      <x:c r="E88" s="34" t="n">
        <x:f>IF($D$9="Invalid case","",IF(CHOOSE($D$8,ISNUMBER(E89),ISNUMBER(E90),ISNUMBER(E91)),CHOOSE($D$8,E89,E90,E91),""))</x:f>
        <x:v>0</x:v>
      </x:c>
      <x:c r="F88" s="34" t="n">
        <x:f>IF($D$9="Invalid case","",IF(CHOOSE($D$8,ISNUMBER(F89),ISNUMBER(F90),ISNUMBER(F91)),CHOOSE($D$8,F89,F90,F91),""))</x:f>
        <x:v>0</x:v>
      </x:c>
      <x:c r="G88" s="34" t="n">
        <x:f>IF($D$9="Invalid case","",IF(CHOOSE($D$8,ISNUMBER(G89),ISNUMBER(G90),ISNUMBER(G91)),CHOOSE($D$8,G89,G90,G91),""))</x:f>
        <x:v>0</x:v>
      </x:c>
      <x:c r="H88" s="34" t="n">
        <x:f>IF($D$9="Invalid case","",IF(CHOOSE($D$8,ISNUMBER(H89),ISNUMBER(H90),ISNUMBER(H91)),CHOOSE($D$8,H89,H90,H91),""))</x:f>
        <x:v>0</x:v>
      </x:c>
      <x:c r="I88" s="34" t="n">
        <x:f>IF($D$9="Invalid case","",IF(CHOOSE($D$8,ISNUMBER(I89),ISNUMBER(I90),ISNUMBER(I91)),CHOOSE($D$8,I89,I90,I91),""))</x:f>
        <x:v>0</x:v>
      </x:c>
      <x:c r="J88" s="2"/>
      <x:c r="K88" s="2"/>
      <x:c r="L88" s="2"/>
      <x:c r="M88" s="2"/>
    </x:row>
    <x:row r="89" ht="25" customHeight="1">
      <x:c r="A89" s="2"/>
      <x:c r="B89" s="2"/>
      <x:c r="C89" s="2"/>
      <x:c r="D89" s="6" t="str">
        <x:v>Base</x:v>
      </x:c>
      <x:c r="E89" s="9" t="n">
        <x:v>0</x:v>
      </x:c>
      <x:c r="F89" s="9" t="n">
        <x:v>0</x:v>
      </x:c>
      <x:c r="G89" s="9" t="n">
        <x:v>0</x:v>
      </x:c>
      <x:c r="H89" s="9" t="n">
        <x:v>0</x:v>
      </x:c>
      <x:c r="I89" s="9" t="n">
        <x:v>0</x:v>
      </x:c>
      <x:c r="J89" s="2"/>
      <x:c r="K89" s="2"/>
      <x:c r="L89" s="2"/>
      <x:c r="M89" s="2"/>
    </x:row>
    <x:row r="90" ht="25" customHeight="1">
      <x:c r="A90" s="2"/>
      <x:c r="B90" s="2"/>
      <x:c r="C90" s="2"/>
      <x:c r="D90" s="6" t="str">
        <x:v>Downside</x:v>
      </x:c>
      <x:c r="E90" s="9" t="n">
        <x:v>-0.5</x:v>
      </x:c>
      <x:c r="F90" s="9" t="n">
        <x:v>-0.5</x:v>
      </x:c>
      <x:c r="G90" s="9" t="n">
        <x:v>-1</x:v>
      </x:c>
      <x:c r="H90" s="9" t="n">
        <x:v>-1</x:v>
      </x:c>
      <x:c r="I90" s="9" t="n">
        <x:v>-1</x:v>
      </x:c>
      <x:c r="J90" s="2"/>
      <x:c r="K90" s="2"/>
      <x:c r="L90" s="2"/>
      <x:c r="M90" s="2"/>
    </x:row>
    <x:row r="91" ht="25" customHeight="1">
      <x:c r="A91" s="2"/>
      <x:c r="B91" s="2"/>
      <x:c r="C91" s="2"/>
      <x:c r="D91" s="6" t="str">
        <x:v>Upside</x:v>
      </x:c>
      <x:c r="E91" s="9" t="n">
        <x:v>0</x:v>
      </x:c>
      <x:c r="F91" s="9" t="n">
        <x:v>0</x:v>
      </x:c>
      <x:c r="G91" s="9" t="n">
        <x:v>0</x:v>
      </x:c>
      <x:c r="H91" s="9" t="n">
        <x:v>0</x:v>
      </x:c>
      <x:c r="I91" s="9" t="n">
        <x:v>0</x:v>
      </x:c>
      <x:c r="J91" s="2"/>
      <x:c r="K91" s="2"/>
      <x:c r="L91" s="2"/>
      <x:c r="M91" s="2"/>
    </x:row>
    <x:row r="92" ht="25" customHeight="1">
      <x:c r="A92" s="2"/>
      <x:c r="B92" s="2"/>
      <x:c r="C92" s="32" t="str">
        <x:v>Exit EBITDA multiple (Year 5 only)</x:v>
      </x:c>
      <x:c r="D92" s="33" t="str">
        <x:v>Active selection</x:v>
      </x:c>
      <x:c r="E92" s="33"/>
      <x:c r="F92" s="33"/>
      <x:c r="G92" s="33"/>
      <x:c r="H92" s="33"/>
      <x:c r="I92" s="36" t="n">
        <x:f>IF($D$9="Invalid case","",IF(CHOOSE($D$8,ISNUMBER(I93),ISNUMBER(I94),ISNUMBER(I95)),CHOOSE($D$8,I93,I94,I95),""))</x:f>
        <x:v>6</x:v>
      </x:c>
      <x:c r="J92" s="2"/>
      <x:c r="K92" s="2"/>
      <x:c r="L92" s="2"/>
      <x:c r="M92" s="2"/>
    </x:row>
    <x:row r="93" ht="25" customHeight="1">
      <x:c r="A93" s="2"/>
      <x:c r="B93" s="2"/>
      <x:c r="C93" s="2"/>
      <x:c r="D93" s="6" t="str">
        <x:v>Base</x:v>
      </x:c>
      <x:c r="E93" s="6"/>
      <x:c r="F93" s="6"/>
      <x:c r="G93" s="6"/>
      <x:c r="H93" s="6"/>
      <x:c r="I93" s="12" t="n">
        <x:v>6</x:v>
      </x:c>
      <x:c r="J93" s="2"/>
      <x:c r="K93" s="2"/>
      <x:c r="L93" s="2"/>
      <x:c r="M93" s="2"/>
    </x:row>
    <x:row r="94" ht="25" customHeight="1">
      <x:c r="A94" s="2"/>
      <x:c r="B94" s="2"/>
      <x:c r="C94" s="2"/>
      <x:c r="D94" s="6" t="str">
        <x:v>Downside</x:v>
      </x:c>
      <x:c r="E94" s="6"/>
      <x:c r="F94" s="6"/>
      <x:c r="G94" s="6"/>
      <x:c r="H94" s="6"/>
      <x:c r="I94" s="12" t="n">
        <x:v>5</x:v>
      </x:c>
      <x:c r="J94" s="2"/>
      <x:c r="K94" s="2"/>
      <x:c r="L94" s="2"/>
      <x:c r="M94" s="2"/>
    </x:row>
    <x:row r="95" ht="25" customHeight="1">
      <x:c r="A95" s="2"/>
      <x:c r="B95" s="2"/>
      <x:c r="C95" s="2"/>
      <x:c r="D95" s="6" t="str">
        <x:v>Upside</x:v>
      </x:c>
      <x:c r="E95" s="6"/>
      <x:c r="F95" s="6"/>
      <x:c r="G95" s="6"/>
      <x:c r="H95" s="6"/>
      <x:c r="I95" s="12" t="n">
        <x:v>7</x:v>
      </x:c>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t="str">
        <x:v>Active annual input status</x:v>
      </x:c>
      <x:c r="D98" s="14" t="str">
        <x:f>IF(OR(COUNT(E40:I40)&lt;&gt;5,COUNT(E44:I44)&lt;&gt;5,COUNT(E48:I48)&lt;&gt;5,COUNT(E52:I52)&lt;&gt;5,COUNT(E56:I56)&lt;&gt;5,COUNT(E60:I60)&lt;&gt;5,COUNT(E64:I64)&lt;&gt;5,COUNT(E68:I68)&lt;&gt;5,COUNT(E72:I72)&lt;&gt;5,COUNT(E76:I76)&lt;&gt;5,COUNT(E80:I80)&lt;&gt;5,COUNT(E84:I84)&lt;&gt;5,COUNT(E88:I88)&lt;&gt;5,COUNT(I92)&lt;&gt;1,MIN(E40:I40)&lt;0,MIN(E48:I48)&lt;0,MIN(E52:I52)&lt;0,MIN(E60:I60)&lt;0,MIN(E68:I68)&lt;0,MIN(E76:I76)&lt;0,MIN(E44:I44)&lt;-1,MAX(E44:I44)&gt;1,I92&lt;0),"Invalid active inputs","Inputs entered")</x:f>
        <x:v>Inputs entered</x:v>
      </x:c>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7" t="str">
        <x:v>Buyer cash flow is after taxes, capex, working capital and all other planned investment; before existing debt service.</x:v>
      </x:c>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7" t="str">
        <x:v>Synergy cash is incremental, after tax and all realization costs. Exclude it from target standalone and buyer cash inputs.</x:v>
      </x:c>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7" t="str">
        <x:v>Build / partner / do nothing are incremental to the same baseline. Include later investment and foregone cash flows once.</x:v>
      </x:c>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conditionalFormatting sqref="D34:D34">
    <x:cfRule type="containsText" dxfId="0" priority="1" operator="containsText" text="Open"/>
    <x:cfRule type="containsText" dxfId="1" priority="2" operator="containsText" text="Invalid"/>
    <x:cfRule type="containsText" dxfId="2" priority="3" operator="containsText" text="Missing"/>
    <x:cfRule type="containsText" dxfId="3" priority="4" operator="containsText" text="Hold"/>
    <x:cfRule type="containsText" dxfId="4" priority="5" operator="containsText" text="Select Downside"/>
    <x:cfRule type="containsText" dxfId="5" priority="6" operator="containsText" text="No positive"/>
    <x:cfRule type="containsText" dxfId="6" priority="7" operator="containsText" text="Breach"/>
  </x:conditionalFormatting>
  <x:conditionalFormatting sqref="D98:D98">
    <x:cfRule type="containsText" dxfId="7" priority="8" operator="containsText" text="Open"/>
    <x:cfRule type="containsText" dxfId="8" priority="9" operator="containsText" text="Invalid"/>
    <x:cfRule type="containsText" dxfId="9" priority="10" operator="containsText" text="Missing"/>
    <x:cfRule type="containsText" dxfId="10" priority="11" operator="containsText" text="Hold"/>
    <x:cfRule type="containsText" dxfId="11" priority="12" operator="containsText" text="Select Downside"/>
    <x:cfRule type="containsText" dxfId="12" priority="13" operator="containsText" text="No positive"/>
    <x:cfRule type="containsText" dxfId="13" priority="14" operator="containsText" text="Breach"/>
  </x:conditionalFormatting>
  <x:dataValidations count="5">
    <x:dataValidation type="whole" operator="between" sqref="D8">
      <x:formula1>1</x:formula1>
      <x:formula2>3</x:formula2>
    </x:dataValidation>
    <x:dataValidation type="whole" operator="between" sqref="D10">
      <x:formula1>1</x:formula1>
      <x:formula2>3</x:formula2>
    </x:dataValidation>
    <x:dataValidation type="list" sqref="D12">
      <x:formula1>"Verified,Assumption,Unverified"</x:formula1>
    </x:dataValidation>
    <x:dataValidation type="list" sqref="D14">
      <x:formula1>"Yes,No"</x:formula1>
    </x:dataValidation>
    <x:dataValidation type="list" sqref="D15">
      <x:formula1>"Confirmed,Pending,Not met"</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46" hidden="0" customWidth="1"/>
    <x:col min="4" max="4" width="20"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Deal cash flow</x:v>
      </x:c>
      <x:c r="D2" s="2"/>
      <x:c r="E2" s="2"/>
      <x:c r="F2" s="2"/>
      <x:c r="G2" s="2"/>
      <x:c r="H2" s="2"/>
      <x:c r="I2" s="2"/>
      <x:c r="J2" s="2"/>
      <x:c r="K2" s="2"/>
      <x:c r="L2" s="2"/>
      <x:c r="M2" s="2"/>
    </x:row>
    <x:row r="3" ht="25" customHeight="1">
      <x:c r="A3" s="2"/>
      <x:c r="B3" s="2"/>
      <x:c r="C3" s="2"/>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Deal cash flow</x:v>
      </x:c>
      <x:c r="D6" s="31" t="str">
        <x:v>At close</x:v>
      </x:c>
      <x:c r="E6" s="31" t="str">
        <x:v>Year 1</x:v>
      </x:c>
      <x:c r="F6" s="31" t="str">
        <x:v>Year 2</x:v>
      </x:c>
      <x:c r="G6" s="31" t="str">
        <x:v>Year 3</x:v>
      </x:c>
      <x:c r="H6" s="31" t="str">
        <x:v>Year 4</x:v>
      </x:c>
      <x:c r="I6" s="31" t="str">
        <x:v>Year 5</x:v>
      </x:c>
      <x:c r="J6" s="2"/>
      <x:c r="K6" s="2"/>
      <x:c r="L6" s="2"/>
      <x:c r="M6" s="2"/>
    </x:row>
    <x:row r="7" ht="25" customHeight="1">
      <x:c r="A7" s="2"/>
      <x:c r="B7" s="2"/>
      <x:c r="C7" s="2"/>
      <x:c r="D7" s="6"/>
      <x:c r="E7" s="6"/>
      <x:c r="F7" s="6"/>
      <x:c r="G7" s="6"/>
      <x:c r="H7" s="6"/>
      <x:c r="I7" s="6"/>
      <x:c r="J7" s="2"/>
      <x:c r="K7" s="2"/>
      <x:c r="L7" s="2"/>
      <x:c r="M7" s="2"/>
    </x:row>
    <x:row r="8" ht="25" customHeight="1">
      <x:c r="A8" s="2"/>
      <x:c r="B8" s="2"/>
      <x:c r="C8" s="2" t="str">
        <x:v>Target revenue</x:v>
      </x:c>
      <x:c r="D8" s="6"/>
      <x:c r="E8" s="37" t="n">
        <x:f>IF(OR('Controls'!$D$34&lt;&gt;"Inputs entered",'Controls'!$D$98&lt;&gt;"Inputs entered"),"",'Controls'!E40)</x:f>
        <x:v>30</x:v>
      </x:c>
      <x:c r="F8" s="37" t="n">
        <x:f>IF(OR('Controls'!$D$34&lt;&gt;"Inputs entered",'Controls'!$D$98&lt;&gt;"Inputs entered"),"",'Controls'!F40)</x:f>
        <x:v>33</x:v>
      </x:c>
      <x:c r="G8" s="37" t="n">
        <x:f>IF(OR('Controls'!$D$34&lt;&gt;"Inputs entered",'Controls'!$D$98&lt;&gt;"Inputs entered"),"",'Controls'!G40)</x:f>
        <x:v>36</x:v>
      </x:c>
      <x:c r="H8" s="37" t="n">
        <x:f>IF(OR('Controls'!$D$34&lt;&gt;"Inputs entered",'Controls'!$D$98&lt;&gt;"Inputs entered"),"",'Controls'!H40)</x:f>
        <x:v>39</x:v>
      </x:c>
      <x:c r="I8" s="37" t="n">
        <x:f>IF(OR('Controls'!$D$34&lt;&gt;"Inputs entered",'Controls'!$D$98&lt;&gt;"Inputs entered"),"",'Controls'!I40)</x:f>
        <x:v>42</x:v>
      </x:c>
      <x:c r="J8" s="2"/>
      <x:c r="K8" s="2"/>
      <x:c r="L8" s="2"/>
      <x:c r="M8" s="2"/>
    </x:row>
    <x:row r="9" ht="25" customHeight="1">
      <x:c r="A9" s="2"/>
      <x:c r="B9" s="2"/>
      <x:c r="C9" s="2" t="str">
        <x:v>Target EBITDA margin</x:v>
      </x:c>
      <x:c r="D9" s="6"/>
      <x:c r="E9" s="38" t="n">
        <x:f>IF(OR('Controls'!$D$34&lt;&gt;"Inputs entered",'Controls'!$D$98&lt;&gt;"Inputs entered"),"",'Controls'!E44)</x:f>
        <x:v>0.2</x:v>
      </x:c>
      <x:c r="F9" s="38" t="n">
        <x:f>IF(OR('Controls'!$D$34&lt;&gt;"Inputs entered",'Controls'!$D$98&lt;&gt;"Inputs entered"),"",'Controls'!F44)</x:f>
        <x:v>0.21</x:v>
      </x:c>
      <x:c r="G9" s="38" t="n">
        <x:f>IF(OR('Controls'!$D$34&lt;&gt;"Inputs entered",'Controls'!$D$98&lt;&gt;"Inputs entered"),"",'Controls'!G44)</x:f>
        <x:v>0.22</x:v>
      </x:c>
      <x:c r="H9" s="38" t="n">
        <x:f>IF(OR('Controls'!$D$34&lt;&gt;"Inputs entered",'Controls'!$D$98&lt;&gt;"Inputs entered"),"",'Controls'!H44)</x:f>
        <x:v>0.22</x:v>
      </x:c>
      <x:c r="I9" s="38" t="n">
        <x:f>IF(OR('Controls'!$D$34&lt;&gt;"Inputs entered",'Controls'!$D$98&lt;&gt;"Inputs entered"),"",'Controls'!I44)</x:f>
        <x:v>0.22</x:v>
      </x:c>
      <x:c r="J9" s="2"/>
      <x:c r="K9" s="2"/>
      <x:c r="L9" s="2"/>
      <x:c r="M9" s="2"/>
    </x:row>
    <x:row r="10" ht="25" customHeight="1">
      <x:c r="A10" s="2"/>
      <x:c r="B10" s="2"/>
      <x:c r="C10" s="2" t="str">
        <x:v>Target standalone EBITDA</x:v>
      </x:c>
      <x:c r="D10" s="6"/>
      <x:c r="E10" s="37" t="n">
        <x:f>IF(OR('Controls'!$D$34&lt;&gt;"Inputs entered",'Controls'!$D$98&lt;&gt;"Inputs entered"),"",E8*E9)</x:f>
        <x:v>6</x:v>
      </x:c>
      <x:c r="F10" s="37" t="n">
        <x:f>IF(OR('Controls'!$D$34&lt;&gt;"Inputs entered",'Controls'!$D$98&lt;&gt;"Inputs entered"),"",F8*F9)</x:f>
        <x:v>6.93</x:v>
      </x:c>
      <x:c r="G10" s="37" t="n">
        <x:f>IF(OR('Controls'!$D$34&lt;&gt;"Inputs entered",'Controls'!$D$98&lt;&gt;"Inputs entered"),"",G8*G9)</x:f>
        <x:v>7.92</x:v>
      </x:c>
      <x:c r="H10" s="37" t="n">
        <x:f>IF(OR('Controls'!$D$34&lt;&gt;"Inputs entered",'Controls'!$D$98&lt;&gt;"Inputs entered"),"",H8*H9)</x:f>
        <x:v>8.58</x:v>
      </x:c>
      <x:c r="I10" s="37" t="n">
        <x:f>IF(OR('Controls'!$D$34&lt;&gt;"Inputs entered",'Controls'!$D$98&lt;&gt;"Inputs entered"),"",I8*I9)</x:f>
        <x:v>9.24</x:v>
      </x:c>
      <x:c r="J10" s="2"/>
      <x:c r="K10" s="2"/>
      <x:c r="L10" s="2"/>
      <x:c r="M10" s="2"/>
    </x:row>
    <x:row r="11" ht="25" customHeight="1">
      <x:c r="A11" s="2"/>
      <x:c r="B11" s="2"/>
      <x:c r="C11" s="2" t="str">
        <x:v>Depreciation and amortization</x:v>
      </x:c>
      <x:c r="D11" s="6"/>
      <x:c r="E11" s="37" t="n">
        <x:f>IF(OR('Controls'!$D$34&lt;&gt;"Inputs entered",'Controls'!$D$98&lt;&gt;"Inputs entered"),"",'Controls'!E48)</x:f>
        <x:v>1</x:v>
      </x:c>
      <x:c r="F11" s="37" t="n">
        <x:f>IF(OR('Controls'!$D$34&lt;&gt;"Inputs entered",'Controls'!$D$98&lt;&gt;"Inputs entered"),"",'Controls'!F48)</x:f>
        <x:v>1.1</x:v>
      </x:c>
      <x:c r="G11" s="37" t="n">
        <x:f>IF(OR('Controls'!$D$34&lt;&gt;"Inputs entered",'Controls'!$D$98&lt;&gt;"Inputs entered"),"",'Controls'!G48)</x:f>
        <x:v>1.2</x:v>
      </x:c>
      <x:c r="H11" s="37" t="n">
        <x:f>IF(OR('Controls'!$D$34&lt;&gt;"Inputs entered",'Controls'!$D$98&lt;&gt;"Inputs entered"),"",'Controls'!H48)</x:f>
        <x:v>1.3</x:v>
      </x:c>
      <x:c r="I11" s="37" t="n">
        <x:f>IF(OR('Controls'!$D$34&lt;&gt;"Inputs entered",'Controls'!$D$98&lt;&gt;"Inputs entered"),"",'Controls'!I48)</x:f>
        <x:v>1.4</x:v>
      </x:c>
      <x:c r="J11" s="2"/>
      <x:c r="K11" s="2"/>
      <x:c r="L11" s="2"/>
      <x:c r="M11" s="2"/>
    </x:row>
    <x:row r="12" ht="25" customHeight="1">
      <x:c r="A12" s="2"/>
      <x:c r="B12" s="2"/>
      <x:c r="C12" s="2" t="str">
        <x:v>Target EBIT</x:v>
      </x:c>
      <x:c r="D12" s="6"/>
      <x:c r="E12" s="37" t="n">
        <x:f>IF(OR('Controls'!$D$34&lt;&gt;"Inputs entered",'Controls'!$D$98&lt;&gt;"Inputs entered"),"",E10-E11)</x:f>
        <x:v>5</x:v>
      </x:c>
      <x:c r="F12" s="37" t="n">
        <x:f>IF(OR('Controls'!$D$34&lt;&gt;"Inputs entered",'Controls'!$D$98&lt;&gt;"Inputs entered"),"",F10-F11)</x:f>
        <x:v>5.83</x:v>
      </x:c>
      <x:c r="G12" s="37" t="n">
        <x:f>IF(OR('Controls'!$D$34&lt;&gt;"Inputs entered",'Controls'!$D$98&lt;&gt;"Inputs entered"),"",G10-G11)</x:f>
        <x:v>6.72</x:v>
      </x:c>
      <x:c r="H12" s="37" t="n">
        <x:f>IF(OR('Controls'!$D$34&lt;&gt;"Inputs entered",'Controls'!$D$98&lt;&gt;"Inputs entered"),"",H10-H11)</x:f>
        <x:v>7.28</x:v>
      </x:c>
      <x:c r="I12" s="37" t="n">
        <x:f>IF(OR('Controls'!$D$34&lt;&gt;"Inputs entered",'Controls'!$D$98&lt;&gt;"Inputs entered"),"",I10-I11)</x:f>
        <x:v>7.84</x:v>
      </x:c>
      <x:c r="J12" s="2"/>
      <x:c r="K12" s="2"/>
      <x:c r="L12" s="2"/>
      <x:c r="M12" s="2"/>
    </x:row>
    <x:row r="13" ht="25" customHeight="1">
      <x:c r="A13" s="2"/>
      <x:c r="B13" s="2"/>
      <x:c r="C13" s="2" t="str">
        <x:v>Cash tax on positive EBIT</x:v>
      </x:c>
      <x:c r="D13" s="6"/>
      <x:c r="E13" s="37" t="n">
        <x:f>IF(OR('Controls'!$D$34&lt;&gt;"Inputs entered",'Controls'!$D$98&lt;&gt;"Inputs entered"),"",MAX(0,E12)*'Controls'!$D$16)</x:f>
        <x:v>1.25</x:v>
      </x:c>
      <x:c r="F13" s="37" t="n">
        <x:f>IF(OR('Controls'!$D$34&lt;&gt;"Inputs entered",'Controls'!$D$98&lt;&gt;"Inputs entered"),"",MAX(0,F12)*'Controls'!$D$16)</x:f>
        <x:v>1.4575</x:v>
      </x:c>
      <x:c r="G13" s="37" t="n">
        <x:f>IF(OR('Controls'!$D$34&lt;&gt;"Inputs entered",'Controls'!$D$98&lt;&gt;"Inputs entered"),"",MAX(0,G12)*'Controls'!$D$16)</x:f>
        <x:v>1.68</x:v>
      </x:c>
      <x:c r="H13" s="37" t="n">
        <x:f>IF(OR('Controls'!$D$34&lt;&gt;"Inputs entered",'Controls'!$D$98&lt;&gt;"Inputs entered"),"",MAX(0,H12)*'Controls'!$D$16)</x:f>
        <x:v>1.82</x:v>
      </x:c>
      <x:c r="I13" s="37" t="n">
        <x:f>IF(OR('Controls'!$D$34&lt;&gt;"Inputs entered",'Controls'!$D$98&lt;&gt;"Inputs entered"),"",MAX(0,I12)*'Controls'!$D$16)</x:f>
        <x:v>1.96</x:v>
      </x:c>
      <x:c r="J13" s="2"/>
      <x:c r="K13" s="2"/>
      <x:c r="L13" s="2"/>
      <x:c r="M13" s="2"/>
    </x:row>
    <x:row r="14" ht="25" customHeight="1">
      <x:c r="A14" s="2"/>
      <x:c r="B14" s="2"/>
      <x:c r="C14" s="2" t="str">
        <x:v>Target NOPAT</x:v>
      </x:c>
      <x:c r="D14" s="6"/>
      <x:c r="E14" s="37" t="n">
        <x:f>IF(OR('Controls'!$D$34&lt;&gt;"Inputs entered",'Controls'!$D$98&lt;&gt;"Inputs entered"),"",E12-E13)</x:f>
        <x:v>3.75</x:v>
      </x:c>
      <x:c r="F14" s="37" t="n">
        <x:f>IF(OR('Controls'!$D$34&lt;&gt;"Inputs entered",'Controls'!$D$98&lt;&gt;"Inputs entered"),"",F12-F13)</x:f>
        <x:v>4.3725000000000005</x:v>
      </x:c>
      <x:c r="G14" s="37" t="n">
        <x:f>IF(OR('Controls'!$D$34&lt;&gt;"Inputs entered",'Controls'!$D$98&lt;&gt;"Inputs entered"),"",G12-G13)</x:f>
        <x:v>5.04</x:v>
      </x:c>
      <x:c r="H14" s="37" t="n">
        <x:f>IF(OR('Controls'!$D$34&lt;&gt;"Inputs entered",'Controls'!$D$98&lt;&gt;"Inputs entered"),"",H12-H13)</x:f>
        <x:v>5.46</x:v>
      </x:c>
      <x:c r="I14" s="37" t="n">
        <x:f>IF(OR('Controls'!$D$34&lt;&gt;"Inputs entered",'Controls'!$D$98&lt;&gt;"Inputs entered"),"",I12-I13)</x:f>
        <x:v>5.88</x:v>
      </x:c>
      <x:c r="J14" s="2"/>
      <x:c r="K14" s="2"/>
      <x:c r="L14" s="2"/>
      <x:c r="M14" s="2"/>
    </x:row>
    <x:row r="15" ht="25" customHeight="1">
      <x:c r="A15" s="2"/>
      <x:c r="B15" s="2"/>
      <x:c r="C15" s="2" t="str">
        <x:v>Add back depreciation and amortization</x:v>
      </x:c>
      <x:c r="D15" s="6"/>
      <x:c r="E15" s="37" t="n">
        <x:f>IF(OR('Controls'!$D$34&lt;&gt;"Inputs entered",'Controls'!$D$98&lt;&gt;"Inputs entered"),"",E11)</x:f>
        <x:v>1</x:v>
      </x:c>
      <x:c r="F15" s="37" t="n">
        <x:f>IF(OR('Controls'!$D$34&lt;&gt;"Inputs entered",'Controls'!$D$98&lt;&gt;"Inputs entered"),"",F11)</x:f>
        <x:v>1.1</x:v>
      </x:c>
      <x:c r="G15" s="37" t="n">
        <x:f>IF(OR('Controls'!$D$34&lt;&gt;"Inputs entered",'Controls'!$D$98&lt;&gt;"Inputs entered"),"",G11)</x:f>
        <x:v>1.2</x:v>
      </x:c>
      <x:c r="H15" s="37" t="n">
        <x:f>IF(OR('Controls'!$D$34&lt;&gt;"Inputs entered",'Controls'!$D$98&lt;&gt;"Inputs entered"),"",H11)</x:f>
        <x:v>1.3</x:v>
      </x:c>
      <x:c r="I15" s="37" t="n">
        <x:f>IF(OR('Controls'!$D$34&lt;&gt;"Inputs entered",'Controls'!$D$98&lt;&gt;"Inputs entered"),"",I11)</x:f>
        <x:v>1.4</x:v>
      </x:c>
      <x:c r="J15" s="2"/>
      <x:c r="K15" s="2"/>
      <x:c r="L15" s="2"/>
      <x:c r="M15" s="2"/>
    </x:row>
    <x:row r="16" ht="25" customHeight="1">
      <x:c r="A16" s="2"/>
      <x:c r="B16" s="2"/>
      <x:c r="C16" s="2" t="str">
        <x:v>Capital expenditure</x:v>
      </x:c>
      <x:c r="D16" s="6"/>
      <x:c r="E16" s="37" t="n">
        <x:f>IF(OR('Controls'!$D$34&lt;&gt;"Inputs entered",'Controls'!$D$98&lt;&gt;"Inputs entered"),"",'Controls'!E52)</x:f>
        <x:v>1.5</x:v>
      </x:c>
      <x:c r="F16" s="37" t="n">
        <x:f>IF(OR('Controls'!$D$34&lt;&gt;"Inputs entered",'Controls'!$D$98&lt;&gt;"Inputs entered"),"",'Controls'!F52)</x:f>
        <x:v>1.6</x:v>
      </x:c>
      <x:c r="G16" s="37" t="n">
        <x:f>IF(OR('Controls'!$D$34&lt;&gt;"Inputs entered",'Controls'!$D$98&lt;&gt;"Inputs entered"),"",'Controls'!G52)</x:f>
        <x:v>1.7</x:v>
      </x:c>
      <x:c r="H16" s="37" t="n">
        <x:f>IF(OR('Controls'!$D$34&lt;&gt;"Inputs entered",'Controls'!$D$98&lt;&gt;"Inputs entered"),"",'Controls'!H52)</x:f>
        <x:v>1.8</x:v>
      </x:c>
      <x:c r="I16" s="37" t="n">
        <x:f>IF(OR('Controls'!$D$34&lt;&gt;"Inputs entered",'Controls'!$D$98&lt;&gt;"Inputs entered"),"",'Controls'!I52)</x:f>
        <x:v>1.9</x:v>
      </x:c>
      <x:c r="J16" s="2"/>
      <x:c r="K16" s="2"/>
      <x:c r="L16" s="2"/>
      <x:c r="M16" s="2"/>
    </x:row>
    <x:row r="17" ht="25" customHeight="1">
      <x:c r="A17" s="2"/>
      <x:c r="B17" s="2"/>
      <x:c r="C17" s="2" t="str">
        <x:v>Increase in working capital</x:v>
      </x:c>
      <x:c r="D17" s="6"/>
      <x:c r="E17" s="37" t="n">
        <x:f>IF(OR('Controls'!$D$34&lt;&gt;"Inputs entered",'Controls'!$D$98&lt;&gt;"Inputs entered"),"",'Controls'!E56)</x:f>
        <x:v>0.5</x:v>
      </x:c>
      <x:c r="F17" s="37" t="n">
        <x:f>IF(OR('Controls'!$D$34&lt;&gt;"Inputs entered",'Controls'!$D$98&lt;&gt;"Inputs entered"),"",'Controls'!F56)</x:f>
        <x:v>0.5</x:v>
      </x:c>
      <x:c r="G17" s="37" t="n">
        <x:f>IF(OR('Controls'!$D$34&lt;&gt;"Inputs entered",'Controls'!$D$98&lt;&gt;"Inputs entered"),"",'Controls'!G56)</x:f>
        <x:v>0.5</x:v>
      </x:c>
      <x:c r="H17" s="37" t="n">
        <x:f>IF(OR('Controls'!$D$34&lt;&gt;"Inputs entered",'Controls'!$D$98&lt;&gt;"Inputs entered"),"",'Controls'!H56)</x:f>
        <x:v>0.5</x:v>
      </x:c>
      <x:c r="I17" s="37" t="n">
        <x:f>IF(OR('Controls'!$D$34&lt;&gt;"Inputs entered",'Controls'!$D$98&lt;&gt;"Inputs entered"),"",'Controls'!I56)</x:f>
        <x:v>0.5</x:v>
      </x:c>
      <x:c r="J17" s="2"/>
      <x:c r="K17" s="2"/>
      <x:c r="L17" s="2"/>
      <x:c r="M17" s="2"/>
    </x:row>
    <x:row r="18" ht="25" customHeight="1">
      <x:c r="A18" s="2"/>
      <x:c r="B18" s="2"/>
      <x:c r="C18" s="2" t="str">
        <x:v>Follow-on investment</x:v>
      </x:c>
      <x:c r="D18" s="6"/>
      <x:c r="E18" s="37" t="n">
        <x:f>IF(OR('Controls'!$D$34&lt;&gt;"Inputs entered",'Controls'!$D$98&lt;&gt;"Inputs entered"),"",'Controls'!E60)</x:f>
        <x:v>1</x:v>
      </x:c>
      <x:c r="F18" s="37" t="n">
        <x:f>IF(OR('Controls'!$D$34&lt;&gt;"Inputs entered",'Controls'!$D$98&lt;&gt;"Inputs entered"),"",'Controls'!F60)</x:f>
        <x:v>1</x:v>
      </x:c>
      <x:c r="G18" s="37" t="n">
        <x:f>IF(OR('Controls'!$D$34&lt;&gt;"Inputs entered",'Controls'!$D$98&lt;&gt;"Inputs entered"),"",'Controls'!G60)</x:f>
        <x:v>0</x:v>
      </x:c>
      <x:c r="H18" s="37" t="n">
        <x:f>IF(OR('Controls'!$D$34&lt;&gt;"Inputs entered",'Controls'!$D$98&lt;&gt;"Inputs entered"),"",'Controls'!H60)</x:f>
        <x:v>0</x:v>
      </x:c>
      <x:c r="I18" s="37" t="n">
        <x:f>IF(OR('Controls'!$D$34&lt;&gt;"Inputs entered",'Controls'!$D$98&lt;&gt;"Inputs entered"),"",'Controls'!I60)</x:f>
        <x:v>0</x:v>
      </x:c>
      <x:c r="J18" s="2"/>
      <x:c r="K18" s="2"/>
      <x:c r="L18" s="2"/>
      <x:c r="M18" s="2"/>
    </x:row>
    <x:row r="19" ht="25" customHeight="1">
      <x:c r="A19" s="2"/>
      <x:c r="B19" s="2"/>
      <x:c r="C19" s="2" t="str">
        <x:v>Standalone unlevered cash flow</x:v>
      </x:c>
      <x:c r="D19" s="6"/>
      <x:c r="E19" s="37" t="n">
        <x:f>IF(OR('Controls'!$D$34&lt;&gt;"Inputs entered",'Controls'!$D$98&lt;&gt;"Inputs entered"),"",E14+E15-SUM(E16:E18))</x:f>
        <x:v>1.75</x:v>
      </x:c>
      <x:c r="F19" s="37" t="n">
        <x:f>IF(OR('Controls'!$D$34&lt;&gt;"Inputs entered",'Controls'!$D$98&lt;&gt;"Inputs entered"),"",F14+F15-SUM(F16:F18))</x:f>
        <x:v>2.3725</x:v>
      </x:c>
      <x:c r="G19" s="37" t="n">
        <x:f>IF(OR('Controls'!$D$34&lt;&gt;"Inputs entered",'Controls'!$D$98&lt;&gt;"Inputs entered"),"",G14+G15-SUM(G16:G18))</x:f>
        <x:v>4.04</x:v>
      </x:c>
      <x:c r="H19" s="37" t="n">
        <x:f>IF(OR('Controls'!$D$34&lt;&gt;"Inputs entered",'Controls'!$D$98&lt;&gt;"Inputs entered"),"",H14+H15-SUM(H16:H18))</x:f>
        <x:v>4.46</x:v>
      </x:c>
      <x:c r="I19" s="37" t="n">
        <x:f>IF(OR('Controls'!$D$34&lt;&gt;"Inputs entered",'Controls'!$D$98&lt;&gt;"Inputs entered"),"",I14+I15-SUM(I16:I18))</x:f>
        <x:v>4.879999999999999</x:v>
      </x:c>
      <x:c r="J19" s="2"/>
      <x:c r="K19" s="2"/>
      <x:c r="L19" s="2"/>
      <x:c r="M19" s="2"/>
    </x:row>
    <x:row r="20" ht="25" customHeight="1">
      <x:c r="A20" s="2"/>
      <x:c r="B20" s="2"/>
      <x:c r="C20" s="2" t="str">
        <x:v>Net buyer synergy cash flow</x:v>
      </x:c>
      <x:c r="D20" s="6"/>
      <x:c r="E20" s="37" t="n">
        <x:f>IF(OR('Controls'!$D$34&lt;&gt;"Inputs entered",'Controls'!$D$98&lt;&gt;"Inputs entered"),"",'Controls'!E64)</x:f>
        <x:v>0.5</x:v>
      </x:c>
      <x:c r="F20" s="37" t="n">
        <x:f>IF(OR('Controls'!$D$34&lt;&gt;"Inputs entered",'Controls'!$D$98&lt;&gt;"Inputs entered"),"",'Controls'!F64)</x:f>
        <x:v>1</x:v>
      </x:c>
      <x:c r="G20" s="37" t="n">
        <x:f>IF(OR('Controls'!$D$34&lt;&gt;"Inputs entered",'Controls'!$D$98&lt;&gt;"Inputs entered"),"",'Controls'!G64)</x:f>
        <x:v>1.5</x:v>
      </x:c>
      <x:c r="H20" s="37" t="n">
        <x:f>IF(OR('Controls'!$D$34&lt;&gt;"Inputs entered",'Controls'!$D$98&lt;&gt;"Inputs entered"),"",'Controls'!H64)</x:f>
        <x:v>2</x:v>
      </x:c>
      <x:c r="I20" s="37" t="n">
        <x:f>IF(OR('Controls'!$D$34&lt;&gt;"Inputs entered",'Controls'!$D$98&lt;&gt;"Inputs entered"),"",'Controls'!I64)</x:f>
        <x:v>2</x:v>
      </x:c>
      <x:c r="J20" s="2"/>
      <x:c r="K20" s="2"/>
      <x:c r="L20" s="2"/>
      <x:c r="M20" s="2"/>
    </x:row>
    <x:row r="21" ht="25" customHeight="1">
      <x:c r="A21" s="2"/>
      <x:c r="B21" s="2"/>
      <x:c r="C21" s="2" t="str">
        <x:v>Total economic unlevered cash flow</x:v>
      </x:c>
      <x:c r="D21" s="6"/>
      <x:c r="E21" s="37" t="n">
        <x:f>IF(OR('Controls'!$D$34&lt;&gt;"Inputs entered",'Controls'!$D$98&lt;&gt;"Inputs entered"),"",SUM(E19:E20))</x:f>
        <x:v>2.25</x:v>
      </x:c>
      <x:c r="F21" s="37" t="n">
        <x:f>IF(OR('Controls'!$D$34&lt;&gt;"Inputs entered",'Controls'!$D$98&lt;&gt;"Inputs entered"),"",SUM(F19:F20))</x:f>
        <x:v>3.3725</x:v>
      </x:c>
      <x:c r="G21" s="37" t="n">
        <x:f>IF(OR('Controls'!$D$34&lt;&gt;"Inputs entered",'Controls'!$D$98&lt;&gt;"Inputs entered"),"",SUM(G19:G20))</x:f>
        <x:v>5.54</x:v>
      </x:c>
      <x:c r="H21" s="37" t="n">
        <x:f>IF(OR('Controls'!$D$34&lt;&gt;"Inputs entered",'Controls'!$D$98&lt;&gt;"Inputs entered"),"",SUM(H19:H20))</x:f>
        <x:v>6.46</x:v>
      </x:c>
      <x:c r="I21" s="37" t="n">
        <x:f>IF(OR('Controls'!$D$34&lt;&gt;"Inputs entered",'Controls'!$D$98&lt;&gt;"Inputs entered"),"",SUM(I19:I20))</x:f>
        <x:v>6.879999999999999</x:v>
      </x:c>
      <x:c r="J21" s="2"/>
      <x:c r="K21" s="2"/>
      <x:c r="L21" s="2"/>
      <x:c r="M21" s="2"/>
    </x:row>
    <x:row r="22" ht="25" customHeight="1">
      <x:c r="A22" s="2"/>
      <x:c r="B22" s="2"/>
      <x:c r="C22" s="2" t="str">
        <x:v>Year-end discount factor</x:v>
      </x:c>
      <x:c r="D22" s="6"/>
      <x:c r="E22" s="39" t="n">
        <x:f>IF(OR('Controls'!$D$34&lt;&gt;"Inputs entered",'Controls'!$D$98&lt;&gt;"Inputs entered"),"",1/(1+'Controls'!$D$17)^1)</x:f>
        <x:v>0.8695652173913044</x:v>
      </x:c>
      <x:c r="F22" s="39" t="n">
        <x:f>IF(OR('Controls'!$D$34&lt;&gt;"Inputs entered",'Controls'!$D$98&lt;&gt;"Inputs entered"),"",1/(1+'Controls'!$D$17)^2)</x:f>
        <x:v>0.7561436672967865</x:v>
      </x:c>
      <x:c r="G22" s="39" t="n">
        <x:f>IF(OR('Controls'!$D$34&lt;&gt;"Inputs entered",'Controls'!$D$98&lt;&gt;"Inputs entered"),"",1/(1+'Controls'!$D$17)^3)</x:f>
        <x:v>0.6575162324319883</x:v>
      </x:c>
      <x:c r="H22" s="39" t="n">
        <x:f>IF(OR('Controls'!$D$34&lt;&gt;"Inputs entered",'Controls'!$D$98&lt;&gt;"Inputs entered"),"",1/(1+'Controls'!$D$17)^4)</x:f>
        <x:v>0.5717532455930334</x:v>
      </x:c>
      <x:c r="I22" s="39" t="n">
        <x:f>IF(OR('Controls'!$D$34&lt;&gt;"Inputs entered",'Controls'!$D$98&lt;&gt;"Inputs entered"),"",1/(1+'Controls'!$D$17)^5)</x:f>
        <x:v>0.4971767352982899</x:v>
      </x:c>
      <x:c r="J22" s="2"/>
      <x:c r="K22" s="2"/>
      <x:c r="L22" s="2"/>
      <x:c r="M22" s="2"/>
    </x:row>
    <x:row r="23" ht="25" customHeight="1">
      <x:c r="A23" s="2"/>
      <x:c r="B23" s="2"/>
      <x:c r="C23" s="2" t="str">
        <x:v>PV of standalone operating cash flow</x:v>
      </x:c>
      <x:c r="D23" s="6"/>
      <x:c r="E23" s="37" t="n">
        <x:f>IF(OR('Controls'!$D$34&lt;&gt;"Inputs entered",'Controls'!$D$98&lt;&gt;"Inputs entered"),"",E19*E22)</x:f>
        <x:v>1.5217391304347827</x:v>
      </x:c>
      <x:c r="F23" s="37" t="n">
        <x:f>IF(OR('Controls'!$D$34&lt;&gt;"Inputs entered",'Controls'!$D$98&lt;&gt;"Inputs entered"),"",F19*F22)</x:f>
        <x:v>1.793950850661626</x:v>
      </x:c>
      <x:c r="G23" s="37" t="n">
        <x:f>IF(OR('Controls'!$D$34&lt;&gt;"Inputs entered",'Controls'!$D$98&lt;&gt;"Inputs entered"),"",G19*G22)</x:f>
        <x:v>2.6563655790252327</x:v>
      </x:c>
      <x:c r="H23" s="37" t="n">
        <x:f>IF(OR('Controls'!$D$34&lt;&gt;"Inputs entered",'Controls'!$D$98&lt;&gt;"Inputs entered"),"",H19*H22)</x:f>
        <x:v>2.550019475344929</x:v>
      </x:c>
      <x:c r="I23" s="37" t="n">
        <x:f>IF(OR('Controls'!$D$34&lt;&gt;"Inputs entered",'Controls'!$D$98&lt;&gt;"Inputs entered"),"",I19*I22)</x:f>
        <x:v>2.426222468255654</x:v>
      </x:c>
      <x:c r="J23" s="2"/>
      <x:c r="K23" s="2"/>
      <x:c r="L23" s="2"/>
      <x:c r="M23" s="2"/>
    </x:row>
    <x:row r="24" ht="25" customHeight="1">
      <x:c r="A24" s="2"/>
      <x:c r="B24" s="2"/>
      <x:c r="C24" s="2" t="str">
        <x:v>PV of net buyer synergy cash flow</x:v>
      </x:c>
      <x:c r="D24" s="6"/>
      <x:c r="E24" s="37" t="n">
        <x:f>IF(OR('Controls'!$D$34&lt;&gt;"Inputs entered",'Controls'!$D$98&lt;&gt;"Inputs entered"),"",E20*E22)</x:f>
        <x:v>0.4347826086956522</x:v>
      </x:c>
      <x:c r="F24" s="37" t="n">
        <x:f>IF(OR('Controls'!$D$34&lt;&gt;"Inputs entered",'Controls'!$D$98&lt;&gt;"Inputs entered"),"",F20*F22)</x:f>
        <x:v>0.7561436672967865</x:v>
      </x:c>
      <x:c r="G24" s="37" t="n">
        <x:f>IF(OR('Controls'!$D$34&lt;&gt;"Inputs entered",'Controls'!$D$98&lt;&gt;"Inputs entered"),"",G20*G22)</x:f>
        <x:v>0.9862743486479825</x:v>
      </x:c>
      <x:c r="H24" s="37" t="n">
        <x:f>IF(OR('Controls'!$D$34&lt;&gt;"Inputs entered",'Controls'!$D$98&lt;&gt;"Inputs entered"),"",H20*H22)</x:f>
        <x:v>1.1435064911860668</x:v>
      </x:c>
      <x:c r="I24" s="37" t="n">
        <x:f>IF(OR('Controls'!$D$34&lt;&gt;"Inputs entered",'Controls'!$D$98&lt;&gt;"Inputs entered"),"",I20*I22)</x:f>
        <x:v>0.9943534705965797</x:v>
      </x:c>
      <x:c r="J24" s="2"/>
      <x:c r="K24" s="2"/>
      <x:c r="L24" s="2"/>
      <x:c r="M24" s="2"/>
    </x:row>
    <x:row r="25" ht="25" customHeight="1">
      <x:c r="A25" s="2"/>
      <x:c r="B25" s="2"/>
      <x:c r="C25" s="2" t="str">
        <x:v>Negative buyer synergy PV</x:v>
      </x:c>
      <x:c r="D25" s="6"/>
      <x:c r="E25" s="14" t="n">
        <x:f>IF(NOT(ISNUMBER(E24)),"",MIN(0,E24))</x:f>
        <x:v>0</x:v>
      </x:c>
      <x:c r="F25" s="14" t="n">
        <x:f>IF(NOT(ISNUMBER(F24)),"",MIN(0,F24))</x:f>
        <x:v>0</x:v>
      </x:c>
      <x:c r="G25" s="14" t="n">
        <x:f>IF(NOT(ISNUMBER(G24)),"",MIN(0,G24))</x:f>
        <x:v>0</x:v>
      </x:c>
      <x:c r="H25" s="14" t="n">
        <x:f>IF(NOT(ISNUMBER(H24)),"",MIN(0,H24))</x:f>
        <x:v>0</x:v>
      </x:c>
      <x:c r="I25" s="14" t="n">
        <x:f>IF(NOT(ISNUMBER(I24)),"",MIN(0,I24))</x:f>
        <x:v>0</x:v>
      </x:c>
      <x:c r="J25" s="2"/>
      <x:c r="K25" s="2"/>
      <x:c r="L25" s="2"/>
      <x:c r="M25" s="2"/>
    </x:row>
    <x:row r="26" ht="25" customHeight="1">
      <x:c r="A26" s="2"/>
      <x:c r="B26" s="2"/>
      <x:c r="C26" s="2" t="str">
        <x:v>Positive buyer synergy PV</x:v>
      </x:c>
      <x:c r="D26" s="6"/>
      <x:c r="E26" s="14" t="n">
        <x:f>IF(NOT(ISNUMBER(E24)),"",MAX(0,E24))</x:f>
        <x:v>0.4347826086956522</x:v>
      </x:c>
      <x:c r="F26" s="14" t="n">
        <x:f>IF(NOT(ISNUMBER(F24)),"",MAX(0,F24))</x:f>
        <x:v>0.7561436672967865</x:v>
      </x:c>
      <x:c r="G26" s="14" t="n">
        <x:f>IF(NOT(ISNUMBER(G24)),"",MAX(0,G24))</x:f>
        <x:v>0.9862743486479825</x:v>
      </x:c>
      <x:c r="H26" s="14" t="n">
        <x:f>IF(NOT(ISNUMBER(H24)),"",MAX(0,H24))</x:f>
        <x:v>1.1435064911860668</x:v>
      </x:c>
      <x:c r="I26" s="14" t="n">
        <x:f>IF(NOT(ISNUMBER(I24)),"",MAX(0,I24))</x:f>
        <x:v>0.9943534705965797</x:v>
      </x:c>
      <x:c r="J26" s="2"/>
      <x:c r="K26" s="2"/>
      <x:c r="L26" s="2"/>
      <x:c r="M26" s="2"/>
    </x:row>
    <x:row r="27" ht="25" customHeight="1">
      <x:c r="A27" s="2"/>
      <x:c r="B27" s="2"/>
      <x:c r="C27" s="2" t="str">
        <x:v>Terminal enterprise value</x:v>
      </x:c>
      <x:c r="D27" s="6"/>
      <x:c r="E27" s="37" t="n">
        <x:f>IF(OR('Controls'!$D$34&lt;&gt;"Inputs entered",'Controls'!$D$98&lt;&gt;"Inputs entered"),"",0)</x:f>
        <x:v>0</x:v>
      </x:c>
      <x:c r="F27" s="37" t="n">
        <x:f>IF(OR('Controls'!$D$34&lt;&gt;"Inputs entered",'Controls'!$D$98&lt;&gt;"Inputs entered"),"",0)</x:f>
        <x:v>0</x:v>
      </x:c>
      <x:c r="G27" s="37" t="n">
        <x:f>IF(OR('Controls'!$D$34&lt;&gt;"Inputs entered",'Controls'!$D$98&lt;&gt;"Inputs entered"),"",0)</x:f>
        <x:v>0</x:v>
      </x:c>
      <x:c r="H27" s="37" t="n">
        <x:f>IF(OR('Controls'!$D$34&lt;&gt;"Inputs entered",'Controls'!$D$98&lt;&gt;"Inputs entered"),"",0)</x:f>
        <x:v>0</x:v>
      </x:c>
      <x:c r="I27" s="37" t="n">
        <x:f>IF(OR('Controls'!$D$34&lt;&gt;"Inputs entered",'Controls'!$D$98&lt;&gt;"Inputs entered"),"",MAX(0,I10)*'Controls'!I92)</x:f>
        <x:v>55.44</x:v>
      </x:c>
      <x:c r="J27" s="2"/>
      <x:c r="K27" s="2"/>
      <x:c r="L27" s="2"/>
      <x:c r="M27" s="2"/>
    </x:row>
    <x:row r="28" ht="25" customHeight="1">
      <x:c r="A28" s="2"/>
      <x:c r="B28" s="2"/>
      <x:c r="C28" s="2" t="str">
        <x:v>PV of terminal enterprise value</x:v>
      </x:c>
      <x:c r="D28" s="6"/>
      <x:c r="E28" s="37" t="n">
        <x:f>IF(OR('Controls'!$D$34&lt;&gt;"Inputs entered",'Controls'!$D$98&lt;&gt;"Inputs entered"),"",E27*E22)</x:f>
        <x:v>0</x:v>
      </x:c>
      <x:c r="F28" s="37" t="n">
        <x:f>IF(OR('Controls'!$D$34&lt;&gt;"Inputs entered",'Controls'!$D$98&lt;&gt;"Inputs entered"),"",F27*F22)</x:f>
        <x:v>0</x:v>
      </x:c>
      <x:c r="G28" s="37" t="n">
        <x:f>IF(OR('Controls'!$D$34&lt;&gt;"Inputs entered",'Controls'!$D$98&lt;&gt;"Inputs entered"),"",G27*G22)</x:f>
        <x:v>0</x:v>
      </x:c>
      <x:c r="H28" s="37" t="n">
        <x:f>IF(OR('Controls'!$D$34&lt;&gt;"Inputs entered",'Controls'!$D$98&lt;&gt;"Inputs entered"),"",H27*H22)</x:f>
        <x:v>0</x:v>
      </x:c>
      <x:c r="I28" s="37" t="n">
        <x:f>IF(OR('Controls'!$D$34&lt;&gt;"Inputs entered",'Controls'!$D$98&lt;&gt;"Inputs entered"),"",I27*I22)</x:f>
        <x:v>27.56347820493719</x:v>
      </x:c>
      <x:c r="J28" s="2"/>
      <x:c r="K28" s="2"/>
      <x:c r="L28" s="2"/>
      <x:c r="M28" s="2"/>
    </x:row>
    <x:row r="29" ht="25" customHeight="1">
      <x:c r="A29" s="2"/>
      <x:c r="B29" s="2"/>
      <x:c r="C29" s="2"/>
      <x:c r="D29" s="6"/>
      <x:c r="E29" s="6"/>
      <x:c r="F29" s="6"/>
      <x:c r="G29" s="6"/>
      <x:c r="H29" s="6"/>
      <x:c r="I29" s="6"/>
      <x:c r="J29" s="2"/>
      <x:c r="K29" s="2"/>
      <x:c r="L29" s="2"/>
      <x:c r="M29" s="2"/>
    </x:row>
    <x:row r="30" ht="25" customHeight="1">
      <x:c r="A30" s="2"/>
      <x:c r="B30" s="2"/>
      <x:c r="C30" s="2" t="str">
        <x:v>Project cash flow including terminal sale</x:v>
      </x:c>
      <x:c r="D30" s="37" t="n">
        <x:f>IF('Controls'!D34&lt;&gt;"Inputs entered","",-SUM('Controls'!D18:D20))</x:f>
        <x:v>-38</x:v>
      </x:c>
      <x:c r="E30" s="37" t="n">
        <x:f>IF(OR('Controls'!$D$34&lt;&gt;"Inputs entered",'Controls'!$D$98&lt;&gt;"Inputs entered"),"",E21+E27)</x:f>
        <x:v>2.25</x:v>
      </x:c>
      <x:c r="F30" s="37" t="n">
        <x:f>IF(OR('Controls'!$D$34&lt;&gt;"Inputs entered",'Controls'!$D$98&lt;&gt;"Inputs entered"),"",F21+F27)</x:f>
        <x:v>3.3725</x:v>
      </x:c>
      <x:c r="G30" s="37" t="n">
        <x:f>IF(OR('Controls'!$D$34&lt;&gt;"Inputs entered",'Controls'!$D$98&lt;&gt;"Inputs entered"),"",G21+G27)</x:f>
        <x:v>5.54</x:v>
      </x:c>
      <x:c r="H30" s="37" t="n">
        <x:f>IF(OR('Controls'!$D$34&lt;&gt;"Inputs entered",'Controls'!$D$98&lt;&gt;"Inputs entered"),"",H21+H27)</x:f>
        <x:v>6.46</x:v>
      </x:c>
      <x:c r="I30" s="37" t="n">
        <x:f>IF(OR('Controls'!$D$34&lt;&gt;"Inputs entered",'Controls'!$D$98&lt;&gt;"Inputs entered"),"",I21+I27)</x:f>
        <x:v>62.31999999999999</x:v>
      </x:c>
      <x:c r="J30" s="2"/>
      <x:c r="K30" s="2"/>
      <x:c r="L30" s="2"/>
      <x:c r="M30" s="2"/>
    </x:row>
    <x:row r="31" ht="25" customHeight="1">
      <x:c r="A31" s="2"/>
      <x:c r="B31" s="2"/>
      <x:c r="C31" s="2"/>
      <x:c r="D31" s="6"/>
      <x:c r="E31" s="6"/>
      <x:c r="F31" s="6"/>
      <x:c r="G31" s="6"/>
      <x:c r="H31" s="6"/>
      <x:c r="I31" s="6"/>
      <x:c r="J31" s="2"/>
      <x:c r="K31" s="2"/>
      <x:c r="L31" s="2"/>
      <x:c r="M31" s="2"/>
    </x:row>
    <x:row r="32" ht="25" customHeight="1">
      <x:c r="A32" s="2"/>
      <x:c r="B32" s="2"/>
      <x:c r="C32" s="2" t="str">
        <x:v>Cumulative cash flow excluding terminal sale</x:v>
      </x:c>
      <x:c r="D32" s="14" t="n">
        <x:f>D30</x:f>
        <x:v>-38</x:v>
      </x:c>
      <x:c r="E32" s="37" t="n">
        <x:f>IF(OR('Controls'!$D$34&lt;&gt;"Inputs entered",'Controls'!$D$98&lt;&gt;"Inputs entered"),"",D32+E21)</x:f>
        <x:v>-35.75</x:v>
      </x:c>
      <x:c r="F32" s="37" t="n">
        <x:f>IF(OR('Controls'!$D$34&lt;&gt;"Inputs entered",'Controls'!$D$98&lt;&gt;"Inputs entered"),"",E32+F21)</x:f>
        <x:v>-32.3775</x:v>
      </x:c>
      <x:c r="G32" s="37" t="n">
        <x:f>IF(OR('Controls'!$D$34&lt;&gt;"Inputs entered",'Controls'!$D$98&lt;&gt;"Inputs entered"),"",F32+G21)</x:f>
        <x:v>-26.8375</x:v>
      </x:c>
      <x:c r="H32" s="37" t="n">
        <x:f>IF(OR('Controls'!$D$34&lt;&gt;"Inputs entered",'Controls'!$D$98&lt;&gt;"Inputs entered"),"",G32+H21)</x:f>
        <x:v>-20.377499999999998</x:v>
      </x:c>
      <x:c r="I32" s="37" t="n">
        <x:f>IF(OR('Controls'!$D$34&lt;&gt;"Inputs entered",'Controls'!$D$98&lt;&gt;"Inputs entered"),"",H32+I21)</x:f>
        <x:v>-13.497499999999999</x:v>
      </x:c>
      <x:c r="J32" s="2"/>
      <x:c r="K32" s="2"/>
      <x:c r="L32" s="2"/>
      <x:c r="M32" s="2"/>
    </x:row>
    <x:row r="33" ht="25" customHeight="1">
      <x:c r="A33" s="2"/>
      <x:c r="B33" s="2"/>
      <x:c r="C33" s="2"/>
      <x:c r="D33" s="6"/>
      <x:c r="E33" s="6"/>
      <x:c r="F33" s="6"/>
      <x:c r="G33" s="6"/>
      <x:c r="H33" s="6"/>
      <x:c r="I33" s="6"/>
      <x:c r="J33" s="2"/>
      <x:c r="K33" s="2"/>
      <x:c r="L33" s="2"/>
      <x:c r="M33" s="2"/>
    </x:row>
    <x:row r="34" ht="25" customHeight="1">
      <x:c r="A34" s="2"/>
      <x:c r="B34" s="2"/>
      <x:c r="C34" s="2"/>
      <x:c r="D34" s="6"/>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2" t="str">
        <x:v>Standalone PV including terminal</x:v>
      </x:c>
      <x:c r="D36" s="14" t="n">
        <x:f>IF(COUNT(E23:I23,I28)&lt;&gt;6,"",SUM(E23:I23,I28))</x:f>
        <x:v>38.511775708659414</x:v>
      </x:c>
      <x:c r="E36" s="6"/>
      <x:c r="F36" s="6"/>
      <x:c r="G36" s="6"/>
      <x:c r="H36" s="6"/>
      <x:c r="I36" s="6"/>
      <x:c r="J36" s="2"/>
      <x:c r="K36" s="2"/>
      <x:c r="L36" s="2"/>
      <x:c r="M36" s="2"/>
    </x:row>
    <x:row r="37" ht="25" customHeight="1">
      <x:c r="A37" s="2"/>
      <x:c r="B37" s="2"/>
      <x:c r="C37" s="2" t="str">
        <x:v>Buyer synergy PV</x:v>
      </x:c>
      <x:c r="D37" s="14" t="n">
        <x:f>IF(COUNT(E24:I24)&lt;&gt;5,"",SUM(E24:I24))</x:f>
        <x:v>4.315060586423067</x:v>
      </x:c>
      <x:c r="E37" s="6"/>
      <x:c r="F37" s="6"/>
      <x:c r="G37" s="6"/>
      <x:c r="H37" s="6"/>
      <x:c r="I37" s="6"/>
      <x:c r="J37" s="2"/>
      <x:c r="K37" s="2"/>
      <x:c r="L37" s="2"/>
      <x:c r="M37" s="2"/>
    </x:row>
    <x:row r="38" ht="25" customHeight="1">
      <x:c r="A38" s="2"/>
      <x:c r="B38" s="2"/>
      <x:c r="C38" s="2" t="str">
        <x:v>Buy economic NPV</x:v>
      </x:c>
      <x:c r="D38" s="14" t="n">
        <x:f>IF(COUNT(D36:D37,D30)&lt;&gt;3,"",SUM(D36:D37,D30))</x:f>
        <x:v>4.8268362950824795</x:v>
      </x:c>
      <x:c r="E38" s="6"/>
      <x:c r="F38" s="6"/>
      <x:c r="G38" s="6"/>
      <x:c r="H38" s="6"/>
      <x:c r="I38" s="6"/>
      <x:c r="J38" s="2"/>
      <x:c r="K38" s="2"/>
      <x:c r="L38" s="2"/>
      <x:c r="M38" s="2"/>
    </x:row>
    <x:row r="39" ht="25" customHeight="1">
      <x:c r="A39" s="2"/>
      <x:c r="B39" s="2"/>
      <x:c r="C39" s="2" t="str">
        <x:v>Unlevered project IRR</x:v>
      </x:c>
      <x:c r="D39" s="40" t="n">
        <x:f>IF(OR(COUNT(D30:I30)&lt;&gt;6,D30&gt;=0,MIN(E30:I30)&lt;0,MAX(E30:I30)&lt;=0),"n.a.",IFERROR(IRR(D30:I30),"n.a."))</x:f>
        <x:v>0.18194726185258775</x:v>
      </x:c>
      <x:c r="E39" s="6"/>
      <x:c r="F39" s="6"/>
      <x:c r="G39" s="6"/>
      <x:c r="H39" s="6"/>
      <x:c r="I39" s="6"/>
      <x:c r="J39" s="2"/>
      <x:c r="K39" s="2"/>
      <x:c r="L39" s="2"/>
      <x:c r="M39" s="2"/>
    </x:row>
    <x:row r="40" ht="25" customHeight="1">
      <x:c r="A40" s="2"/>
      <x:c r="B40" s="2"/>
      <x:c r="C40" s="2" t="str">
        <x:v>Operating payback (whole years)</x:v>
      </x:c>
      <x:c r="D40" s="14" t="str">
        <x:f>IF(COUNT(D32:I32)&lt;&gt;6,"n.a.",IF(D32&gt;=0,0,IF(E32&gt;=0,1,IF(F32&gt;=0,2,IF(G32&gt;=0,3,IF(H32&gt;=0,4,IF(I32&gt;=0,5,"Not in 5 years")))))))</x:f>
        <x:v>Not in 5 years</x:v>
      </x:c>
      <x:c r="E40" s="6"/>
      <x:c r="F40" s="6"/>
      <x:c r="G40" s="6"/>
      <x:c r="H40" s="6"/>
      <x:c r="I40" s="6"/>
      <x:c r="J40" s="2"/>
      <x:c r="K40" s="2"/>
      <x:c r="L40" s="2"/>
      <x:c r="M40" s="2"/>
    </x:row>
    <x:row r="41" ht="25" customHeight="1">
      <x:c r="A41" s="2"/>
      <x:c r="B41" s="2"/>
      <x:c r="C41" s="2" t="str">
        <x:v>Year 1 standalone ROIC</x:v>
      </x:c>
      <x:c r="D41" s="38" t="n">
        <x:f>IF(OR(COUNT(E14,'Controls'!D18:D20,E18)&lt;&gt;5,SUM('Controls'!D18,'Controls'!D20,E18)&lt;=0),"n.a.",E14/SUM('Controls'!D18,'Controls'!D20,E18))</x:f>
        <x:v>0.09868421052631579</x:v>
      </x:c>
      <x:c r="E41" s="6"/>
      <x:c r="F41" s="6"/>
      <x:c r="G41" s="6"/>
      <x:c r="H41" s="6"/>
      <x:c r="I41" s="6"/>
      <x:c r="J41" s="2"/>
      <x:c r="K41" s="2"/>
      <x:c r="L41" s="2"/>
      <x:c r="M41" s="2"/>
    </x:row>
    <x:row r="42" ht="25" customHeight="1">
      <x:c r="A42" s="2"/>
      <x:c r="B42" s="2"/>
      <x:c r="C42" s="2"/>
      <x:c r="D42" s="6"/>
      <x:c r="E42" s="6"/>
      <x:c r="F42" s="6"/>
      <x:c r="G42" s="6"/>
      <x:c r="H42" s="6"/>
      <x:c r="I42" s="6"/>
      <x:c r="J42" s="2"/>
      <x:c r="K42" s="2"/>
      <x:c r="L42" s="2"/>
      <x:c r="M42" s="2"/>
    </x:row>
    <x:row r="43" ht="25" customHeight="1">
      <x:c r="A43" s="2"/>
      <x:c r="B43" s="2"/>
      <x:c r="C43" s="2"/>
      <x:c r="D43" s="6"/>
      <x:c r="E43" s="6"/>
      <x:c r="F43" s="6"/>
      <x:c r="G43" s="6"/>
      <x:c r="H43" s="6"/>
      <x:c r="I43" s="6"/>
      <x:c r="J43" s="2"/>
      <x:c r="K43" s="2"/>
      <x:c r="L43" s="2"/>
      <x:c r="M43" s="2"/>
    </x:row>
    <x:row r="44" ht="25" customHeight="1">
      <x:c r="A44" s="2"/>
      <x:c r="B44" s="2"/>
      <x:c r="C44" s="7" t="str">
        <x:v>ROIC = Year 1 standalone NOPAT / (enterprise value + close investment + Year 1 follow-on investment).</x:v>
      </x:c>
      <x:c r="D44" s="6"/>
      <x:c r="E44" s="6"/>
      <x:c r="F44" s="6"/>
      <x:c r="G44" s="6"/>
      <x:c r="H44" s="6"/>
      <x:c r="I44" s="6"/>
      <x:c r="J44" s="2"/>
      <x:c r="K44" s="2"/>
      <x:c r="L44" s="2"/>
      <x:c r="M44" s="2"/>
    </x:row>
    <x:row r="45" ht="25" customHeight="1">
      <x:c r="A45" s="2"/>
      <x:c r="B45" s="2"/>
      <x:c r="C45" s="2"/>
      <x:c r="D45" s="6"/>
      <x:c r="E45" s="6"/>
      <x:c r="F45" s="6"/>
      <x:c r="G45" s="6"/>
      <x:c r="H45" s="6"/>
      <x:c r="I45" s="6"/>
      <x:c r="J45" s="2"/>
      <x:c r="K45" s="2"/>
      <x:c r="L45" s="2"/>
      <x:c r="M45" s="2"/>
    </x:row>
    <x:row r="46" ht="25" customHeight="1">
      <x:c r="A46" s="2"/>
      <x:c r="B46" s="2"/>
      <x:c r="C46" s="7" t="str">
        <x:v>This acquisition-cost proxy excludes fees and buyer synergy. It is not purchase-accounting ROIC.</x:v>
      </x:c>
      <x:c r="D46" s="6"/>
      <x:c r="E46" s="6"/>
      <x:c r="F46" s="6"/>
      <x:c r="G46" s="6"/>
      <x:c r="H46" s="6"/>
      <x:c r="I46" s="6"/>
      <x:c r="J46" s="2"/>
      <x:c r="K46" s="2"/>
      <x:c r="L46" s="2"/>
      <x:c r="M46" s="2"/>
    </x:row>
    <x:row r="47" ht="25" customHeight="1">
      <x:c r="A47" s="2"/>
      <x:c r="B47" s="2"/>
      <x:c r="C47" s="2"/>
      <x:c r="D47" s="6"/>
      <x:c r="E47" s="6"/>
      <x:c r="F47" s="6"/>
      <x:c r="G47" s="6"/>
      <x:c r="H47" s="6"/>
      <x:c r="I47" s="6"/>
      <x:c r="J47" s="2"/>
      <x:c r="K47" s="2"/>
      <x:c r="L47" s="2"/>
      <x:c r="M47" s="2"/>
    </x:row>
    <x:row r="48" ht="25" customHeight="1">
      <x:c r="A48" s="2"/>
      <x:c r="B48" s="2"/>
      <x:c r="C48" s="7" t="str">
        <x:v>IRR is annual, unlevered and includes the Year 5 sale. Operating payback excludes that sale and is not interpolated.</x:v>
      </x:c>
      <x:c r="D48" s="6"/>
      <x:c r="E48" s="6"/>
      <x:c r="F48" s="6"/>
      <x:c r="G48" s="6"/>
      <x:c r="H48" s="6"/>
      <x:c r="I48" s="6"/>
      <x:c r="J48" s="2"/>
      <x:c r="K48" s="2"/>
      <x:c r="L48" s="2"/>
      <x:c r="M48" s="2"/>
    </x:row>
    <x:row r="49" ht="25" customHeight="1">
      <x:c r="A49" s="2"/>
      <x:c r="B49" s="2"/>
      <x:c r="C49" s="2"/>
      <x:c r="D49" s="6"/>
      <x:c r="E49" s="6"/>
      <x:c r="F49" s="6"/>
      <x:c r="G49" s="6"/>
      <x:c r="H49" s="6"/>
      <x:c r="I49" s="6"/>
      <x:c r="J49" s="2"/>
      <x:c r="K49" s="2"/>
      <x:c r="L49" s="2"/>
      <x:c r="M49" s="2"/>
    </x:row>
    <x:row r="50" ht="25" customHeight="1">
      <x:c r="A50" s="2"/>
      <x:c r="B50" s="2"/>
      <x:c r="C50" s="7" t="str">
        <x:v>Negative EBIT has no cash tax benefit. Synergy adds no terminal value or EBITDA borrowing credit.</x:v>
      </x:c>
      <x:c r="D50" s="6"/>
      <x:c r="E50" s="6"/>
      <x:c r="F50" s="6"/>
      <x:c r="G50" s="6"/>
      <x:c r="H50" s="6"/>
      <x:c r="I50" s="6"/>
      <x:c r="J50" s="2"/>
      <x:c r="K50" s="2"/>
      <x:c r="L50" s="2"/>
      <x:c r="M50" s="2"/>
    </x:row>
    <x:row r="51" ht="25" customHeight="1">
      <x:c r="A51" s="2"/>
      <x:c r="B51" s="2"/>
      <x:c r="C51" s="2"/>
      <x:c r="D51" s="6"/>
      <x:c r="E51" s="6"/>
      <x:c r="F51" s="6"/>
      <x:c r="G51" s="6"/>
      <x:c r="H51" s="6"/>
      <x:c r="I51" s="6"/>
      <x:c r="J51" s="2"/>
      <x:c r="K51" s="2"/>
      <x:c r="L51" s="2"/>
      <x:c r="M51" s="2"/>
    </x:row>
    <x:row r="52" ht="25" customHeight="1">
      <x:c r="A52" s="2"/>
      <x:c r="B52" s="2"/>
      <x:c r="C52" s="2"/>
      <x:c r="D52" s="6"/>
      <x:c r="E52" s="6"/>
      <x:c r="F52" s="6"/>
      <x:c r="G52" s="6"/>
      <x:c r="H52" s="6"/>
      <x:c r="I52" s="6"/>
      <x:c r="J52" s="2"/>
      <x:c r="K52" s="2"/>
      <x:c r="L52" s="2"/>
      <x:c r="M52" s="2"/>
    </x:row>
    <x:row r="53" ht="25" customHeight="1">
      <x:c r="A53" s="2"/>
      <x:c r="B53" s="2"/>
      <x:c r="C53" s="2"/>
      <x:c r="D53" s="6"/>
      <x:c r="E53" s="6"/>
      <x:c r="F53" s="6"/>
      <x:c r="G53" s="6"/>
      <x:c r="H53" s="6"/>
      <x:c r="I53" s="6"/>
      <x:c r="J53" s="2"/>
      <x:c r="K53" s="2"/>
      <x:c r="L53" s="2"/>
      <x:c r="M53" s="2"/>
    </x:row>
    <x:row r="54" ht="25" customHeight="1">
      <x:c r="A54" s="2"/>
      <x:c r="B54" s="2"/>
      <x:c r="C54" s="2"/>
      <x:c r="D54" s="6"/>
      <x:c r="E54" s="6"/>
      <x:c r="F54" s="6"/>
      <x:c r="G54" s="6"/>
      <x:c r="H54" s="6"/>
      <x:c r="I54" s="6"/>
      <x:c r="J54" s="2"/>
      <x:c r="K54" s="2"/>
      <x:c r="L54" s="2"/>
      <x:c r="M54" s="2"/>
    </x:row>
    <x:row r="55" ht="25" customHeight="1">
      <x:c r="A55" s="2"/>
      <x:c r="B55" s="2"/>
      <x:c r="C55" s="2"/>
      <x:c r="D55" s="6"/>
      <x:c r="E55" s="6"/>
      <x:c r="F55" s="6"/>
      <x:c r="G55" s="6"/>
      <x:c r="H55" s="6"/>
      <x:c r="I55" s="6"/>
      <x:c r="J55" s="2"/>
      <x:c r="K55" s="2"/>
      <x:c r="L55" s="2"/>
      <x:c r="M55" s="2"/>
    </x:row>
    <x:row r="56" ht="25" customHeight="1">
      <x:c r="A56" s="2"/>
      <x:c r="B56" s="2"/>
      <x:c r="C56" s="2"/>
      <x:c r="D56" s="6"/>
      <x:c r="E56" s="6"/>
      <x:c r="F56" s="6"/>
      <x:c r="G56" s="6"/>
      <x:c r="H56" s="6"/>
      <x:c r="I56" s="6"/>
      <x:c r="J56" s="2"/>
      <x:c r="K56" s="2"/>
      <x:c r="L56" s="2"/>
      <x:c r="M56" s="2"/>
    </x:row>
    <x:row r="57" ht="25" customHeight="1">
      <x:c r="A57" s="2"/>
      <x:c r="B57" s="2"/>
      <x:c r="C57" s="2"/>
      <x:c r="D57" s="6"/>
      <x:c r="E57" s="6"/>
      <x:c r="F57" s="6"/>
      <x:c r="G57" s="6"/>
      <x:c r="H57" s="6"/>
      <x:c r="I57" s="6"/>
      <x:c r="J57" s="2"/>
      <x:c r="K57" s="2"/>
      <x:c r="L57" s="2"/>
      <x:c r="M57" s="2"/>
    </x:row>
    <x:row r="58" ht="25" customHeight="1">
      <x:c r="A58" s="2"/>
      <x:c r="B58" s="2"/>
      <x:c r="C58" s="2"/>
      <x:c r="D58" s="6"/>
      <x:c r="E58" s="6"/>
      <x:c r="F58" s="6"/>
      <x:c r="G58" s="6"/>
      <x:c r="H58" s="6"/>
      <x:c r="I58" s="6"/>
      <x:c r="J58" s="2"/>
      <x:c r="K58" s="2"/>
      <x:c r="L58" s="2"/>
      <x:c r="M58" s="2"/>
    </x:row>
    <x:row r="59" ht="25" customHeight="1">
      <x:c r="A59" s="2"/>
      <x:c r="B59" s="2"/>
      <x:c r="C59" s="2"/>
      <x:c r="D59" s="6"/>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2"/>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2"/>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2"/>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2"/>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43" hidden="0" customWidth="1"/>
    <x:col min="4" max="4" width="20" hidden="0" customWidth="1"/>
    <x:col min="5" max="5" width="20" hidden="0" customWidth="1"/>
    <x:col min="6" max="6" width="20" hidden="0" customWidth="1"/>
    <x:col min="7" max="7" width="3" hidden="0" customWidth="1"/>
    <x:col min="8" max="8" width="45" hidden="0" customWidth="1"/>
    <x:col min="9" max="9" width="24"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Financing</x:v>
      </x:c>
      <x:c r="D2" s="2"/>
      <x:c r="E2" s="2"/>
      <x:c r="F2" s="2"/>
      <x:c r="G2" s="2"/>
      <x:c r="H2" s="2"/>
      <x:c r="I2" s="2"/>
      <x:c r="J2" s="2"/>
      <x:c r="K2" s="2"/>
      <x:c r="L2" s="2"/>
      <x:c r="M2" s="2"/>
    </x:row>
    <x:row r="3" ht="25" customHeight="1">
      <x:c r="A3" s="2"/>
      <x:c r="B3" s="2"/>
      <x:c r="C3" s="2"/>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Financing choice</x:v>
      </x:c>
      <x:c r="D6" s="31" t="str">
        <x:v>Cash heavy</x:v>
      </x:c>
      <x:c r="E6" s="31" t="str">
        <x:v>Balanced debt</x:v>
      </x:c>
      <x:c r="F6" s="31" t="str">
        <x:v>Equity supported</x:v>
      </x:c>
      <x:c r="G6" s="6"/>
      <x:c r="H6" s="31" t="str">
        <x:v>Selected terms</x:v>
      </x:c>
      <x:c r="I6" s="31" t="str">
        <x:v>Active input</x:v>
      </x:c>
      <x:c r="J6" s="2"/>
      <x:c r="K6" s="2"/>
      <x:c r="L6" s="2"/>
      <x:c r="M6" s="2"/>
    </x:row>
    <x:row r="7" ht="40" customHeight="1">
      <x:c r="A7" s="2"/>
      <x:c r="B7" s="2"/>
      <x:c r="C7" s="16" t="str">
        <x:v>Proposed new debt</x:v>
      </x:c>
      <x:c r="D7" s="19" t="n">
        <x:v>5</x:v>
      </x:c>
      <x:c r="E7" s="19" t="n">
        <x:v>12</x:v>
      </x:c>
      <x:c r="F7" s="19" t="n">
        <x:v>6</x:v>
      </x:c>
      <x:c r="G7" s="41"/>
      <x:c r="H7" s="41" t="str">
        <x:v>Proposed new debt</x:v>
      </x:c>
      <x:c r="I7" s="42" t="n">
        <x:f>IF('Controls'!D34&lt;&gt;"Inputs entered","",IF(CHOOSE('Controls'!$D$10,ISBLANK(D7),ISBLANK(E7),ISBLANK(F7)),"",CHOOSE('Controls'!$D$10,D7,E7,F7)))</x:f>
        <x:v>12</x:v>
      </x:c>
      <x:c r="J7" s="2"/>
      <x:c r="K7" s="2"/>
      <x:c r="L7" s="2"/>
      <x:c r="M7" s="2"/>
    </x:row>
    <x:row r="8" ht="40" customHeight="1">
      <x:c r="A8" s="2"/>
      <x:c r="B8" s="2"/>
      <x:c r="C8" s="16" t="str">
        <x:v>New debt annual cash rate</x:v>
      </x:c>
      <x:c r="D8" s="21" t="n">
        <x:v>0.07</x:v>
      </x:c>
      <x:c r="E8" s="21" t="n">
        <x:v>0.08</x:v>
      </x:c>
      <x:c r="F8" s="21" t="n">
        <x:v>0.075</x:v>
      </x:c>
      <x:c r="G8" s="41"/>
      <x:c r="H8" s="41" t="str">
        <x:v>New debt annual cash rate</x:v>
      </x:c>
      <x:c r="I8" s="43" t="n">
        <x:f>IF('Controls'!D34&lt;&gt;"Inputs entered","",IF(CHOOSE('Controls'!$D$10,ISBLANK(D8),ISBLANK(E8),ISBLANK(F8)),"",CHOOSE('Controls'!$D$10,D8,E8,F8)))</x:f>
        <x:v>0.08</x:v>
      </x:c>
      <x:c r="J8" s="2"/>
      <x:c r="K8" s="2"/>
      <x:c r="L8" s="2"/>
      <x:c r="M8" s="2"/>
    </x:row>
    <x:row r="9" ht="40" customHeight="1">
      <x:c r="A9" s="2"/>
      <x:c r="B9" s="2"/>
      <x:c r="C9" s="16" t="str">
        <x:v>Annual original-principal amortization</x:v>
      </x:c>
      <x:c r="D9" s="21" t="n">
        <x:v>0.2</x:v>
      </x:c>
      <x:c r="E9" s="21" t="n">
        <x:v>0.15</x:v>
      </x:c>
      <x:c r="F9" s="21" t="n">
        <x:v>0.2</x:v>
      </x:c>
      <x:c r="G9" s="41"/>
      <x:c r="H9" s="41" t="str">
        <x:v>Annual original-principal amortization</x:v>
      </x:c>
      <x:c r="I9" s="43" t="n">
        <x:f>IF('Controls'!D34&lt;&gt;"Inputs entered","",IF(CHOOSE('Controls'!$D$10,ISBLANK(D9),ISBLANK(E9),ISBLANK(F9)),"",CHOOSE('Controls'!$D$10,D9,E9,F9)))</x:f>
        <x:v>0.15</x:v>
      </x:c>
      <x:c r="J9" s="2"/>
      <x:c r="K9" s="2"/>
      <x:c r="L9" s="2"/>
      <x:c r="M9" s="2"/>
    </x:row>
    <x:row r="10" ht="40" customHeight="1">
      <x:c r="A10" s="2"/>
      <x:c r="B10" s="2"/>
      <x:c r="C10" s="16" t="str">
        <x:v>Committed new-debt limit</x:v>
      </x:c>
      <x:c r="D10" s="19" t="n">
        <x:v>8</x:v>
      </x:c>
      <x:c r="E10" s="19" t="n">
        <x:v>15</x:v>
      </x:c>
      <x:c r="F10" s="19" t="n">
        <x:v>8</x:v>
      </x:c>
      <x:c r="G10" s="41"/>
      <x:c r="H10" s="41" t="str">
        <x:v>Committed new-debt limit</x:v>
      </x:c>
      <x:c r="I10" s="42" t="n">
        <x:f>IF('Controls'!D34&lt;&gt;"Inputs entered","",IF(CHOOSE('Controls'!$D$10,ISBLANK(D10),ISBLANK(E10),ISBLANK(F10)),"",CHOOSE('Controls'!$D$10,D10,E10,F10)))</x:f>
        <x:v>15</x:v>
      </x:c>
      <x:c r="J10" s="2"/>
      <x:c r="K10" s="2"/>
      <x:c r="L10" s="2"/>
      <x:c r="M10" s="2"/>
    </x:row>
    <x:row r="11" ht="40" customHeight="1">
      <x:c r="A11" s="2"/>
      <x:c r="B11" s="2"/>
      <x:c r="C11" s="16" t="str">
        <x:v>Debt commitment state</x:v>
      </x:c>
      <x:c r="D11" s="17" t="str">
        <x:v>Uncommitted</x:v>
      </x:c>
      <x:c r="E11" s="17" t="str">
        <x:v>Uncommitted</x:v>
      </x:c>
      <x:c r="F11" s="17" t="str">
        <x:v>Uncommitted</x:v>
      </x:c>
      <x:c r="G11" s="41"/>
      <x:c r="H11" s="41" t="str">
        <x:v>Debt commitment state</x:v>
      </x:c>
      <x:c r="I11" s="42" t="str">
        <x:f>IF('Controls'!D34&lt;&gt;"Inputs entered","",IF(CHOOSE('Controls'!$D$10,ISBLANK(D11),ISBLANK(E11),ISBLANK(F11)),"",CHOOSE('Controls'!$D$10,D11,E11,F11)))</x:f>
        <x:v>Uncommitted</x:v>
      </x:c>
      <x:c r="J11" s="2"/>
      <x:c r="K11" s="2"/>
      <x:c r="L11" s="2"/>
      <x:c r="M11" s="2"/>
    </x:row>
    <x:row r="12" ht="40" customHeight="1">
      <x:c r="A12" s="2"/>
      <x:c r="B12" s="2"/>
      <x:c r="C12" s="16" t="str">
        <x:v>New common equity gross proceeds</x:v>
      </x:c>
      <x:c r="D12" s="19" t="n">
        <x:v>0</x:v>
      </x:c>
      <x:c r="E12" s="19" t="n">
        <x:v>5</x:v>
      </x:c>
      <x:c r="F12" s="19" t="n">
        <x:v>12</x:v>
      </x:c>
      <x:c r="G12" s="41"/>
      <x:c r="H12" s="41" t="str">
        <x:v>New common equity gross proceeds</x:v>
      </x:c>
      <x:c r="I12" s="42" t="n">
        <x:f>IF('Controls'!D34&lt;&gt;"Inputs entered","",IF(CHOOSE('Controls'!$D$10,ISBLANK(D12),ISBLANK(E12),ISBLANK(F12)),"",CHOOSE('Controls'!$D$10,D12,E12,F12)))</x:f>
        <x:v>5</x:v>
      </x:c>
      <x:c r="J12" s="2"/>
      <x:c r="K12" s="2"/>
      <x:c r="L12" s="2"/>
      <x:c r="M12" s="2"/>
    </x:row>
    <x:row r="13" ht="40" customHeight="1">
      <x:c r="A13" s="2"/>
      <x:c r="B13" s="2"/>
      <x:c r="C13" s="16" t="str">
        <x:v>Equity commitment state</x:v>
      </x:c>
      <x:c r="D13" s="17" t="str">
        <x:v>Not used</x:v>
      </x:c>
      <x:c r="E13" s="17" t="str">
        <x:v>Uncommitted</x:v>
      </x:c>
      <x:c r="F13" s="17" t="str">
        <x:v>Uncommitted</x:v>
      </x:c>
      <x:c r="G13" s="41"/>
      <x:c r="H13" s="41" t="str">
        <x:v>Equity commitment state</x:v>
      </x:c>
      <x:c r="I13" s="42" t="str">
        <x:f>IF('Controls'!D34&lt;&gt;"Inputs entered","",IF(CHOOSE('Controls'!$D$10,ISBLANK(D13),ISBLANK(E13),ISBLANK(F13)),"",CHOOSE('Controls'!$D$10,D13,E13,F13)))</x:f>
        <x:v>Uncommitted</x:v>
      </x:c>
      <x:c r="J13" s="2"/>
      <x:c r="K13" s="2"/>
      <x:c r="L13" s="2"/>
      <x:c r="M13" s="2"/>
    </x:row>
    <x:row r="14" ht="40" customHeight="1">
      <x:c r="A14" s="2"/>
      <x:c r="B14" s="2"/>
      <x:c r="C14" s="16" t="str">
        <x:v>Buyer pre-issue equity value</x:v>
      </x:c>
      <x:c r="D14" s="17"/>
      <x:c r="E14" s="19" t="n">
        <x:v>80</x:v>
      </x:c>
      <x:c r="F14" s="19" t="n">
        <x:v>80</x:v>
      </x:c>
      <x:c r="G14" s="41"/>
      <x:c r="H14" s="41" t="str">
        <x:v>Buyer pre-issue equity value</x:v>
      </x:c>
      <x:c r="I14" s="42" t="n">
        <x:f>IF('Controls'!D34&lt;&gt;"Inputs entered","",IF(CHOOSE('Controls'!$D$10,ISBLANK(D14),ISBLANK(E14),ISBLANK(F14)),"",CHOOSE('Controls'!$D$10,D14,E14,F14)))</x:f>
        <x:v>80</x:v>
      </x:c>
      <x:c r="J14" s="2"/>
      <x:c r="K14" s="2"/>
      <x:c r="L14" s="2"/>
      <x:c r="M14" s="2"/>
    </x:row>
    <x:row r="15" ht="40" customHeight="1">
      <x:c r="A15" s="2"/>
      <x:c r="B15" s="2"/>
      <x:c r="C15" s="16" t="str">
        <x:v>Financing terms / conditions confirmed?</x:v>
      </x:c>
      <x:c r="D15" s="17" t="str">
        <x:v>Pending</x:v>
      </x:c>
      <x:c r="E15" s="17" t="str">
        <x:v>Pending</x:v>
      </x:c>
      <x:c r="F15" s="17" t="str">
        <x:v>Pending</x:v>
      </x:c>
      <x:c r="G15" s="41"/>
      <x:c r="H15" s="41" t="str">
        <x:v>Financing terms / conditions confirmed?</x:v>
      </x:c>
      <x:c r="I15" s="42" t="str">
        <x:f>IF('Controls'!D34&lt;&gt;"Inputs entered","",IF(CHOOSE('Controls'!$D$10,ISBLANK(D15),ISBLANK(E15),ISBLANK(F15)),"",CHOOSE('Controls'!$D$10,D15,E15,F15)))</x:f>
        <x:v>Pending</x:v>
      </x:c>
      <x:c r="J15" s="2"/>
      <x:c r="K15" s="2"/>
      <x:c r="L15" s="2"/>
      <x:c r="M15" s="2"/>
    </x:row>
    <x:row r="16" ht="25" customHeight="1">
      <x:c r="A16" s="2"/>
      <x:c r="B16" s="2"/>
      <x:c r="C16" s="2"/>
      <x:c r="D16" s="6"/>
      <x:c r="E16" s="6"/>
      <x:c r="F16" s="6"/>
      <x:c r="G16" s="6"/>
      <x:c r="H16" s="6"/>
      <x:c r="I16" s="6"/>
      <x:c r="J16" s="2"/>
      <x:c r="K16" s="2"/>
      <x:c r="L16" s="2"/>
      <x:c r="M16" s="2"/>
    </x:row>
    <x:row r="17" ht="25" customHeight="1">
      <x:c r="A17" s="2"/>
      <x:c r="B17" s="2"/>
      <x:c r="C17" s="2"/>
      <x:c r="D17" s="6"/>
      <x:c r="E17" s="6"/>
      <x:c r="F17" s="6"/>
      <x:c r="G17" s="6"/>
      <x:c r="H17" s="6"/>
      <x:c r="I17" s="6"/>
      <x:c r="J17" s="2"/>
      <x:c r="K17" s="2"/>
      <x:c r="L17" s="2"/>
      <x:c r="M17" s="2"/>
    </x:row>
    <x:row r="18" ht="25" customHeight="1">
      <x:c r="A18" s="2"/>
      <x:c r="B18" s="2"/>
      <x:c r="C18" s="2" t="str">
        <x:v>Year 1 new interest</x:v>
      </x:c>
      <x:c r="D18" s="14" t="n">
        <x:f>IF(COUNT(D7:D10,D12)&lt;&gt;5,"",D7*D8)</x:f>
        <x:v>0.35000000000000003</x:v>
      </x:c>
      <x:c r="E18" s="14" t="n">
        <x:f>IF(COUNT(E7:E10,E12)&lt;&gt;5,"",E7*E8)</x:f>
        <x:v>0.96</x:v>
      </x:c>
      <x:c r="F18" s="14" t="n">
        <x:f>IF(COUNT(F7:F10,F12)&lt;&gt;5,"",F7*F8)</x:f>
        <x:v>0.44999999999999996</x:v>
      </x:c>
      <x:c r="G18" s="6"/>
      <x:c r="H18" s="6" t="str">
        <x:v>Selected numeric terms</x:v>
      </x:c>
      <x:c r="I18" s="14" t="str">
        <x:f>IF(OR(COUNT(I7:I10,I12)&lt;&gt;5,MIN(I7:I10,I12)&lt;0,I9&gt;1,AND(I12&gt;0,OR(NOT(ISNUMBER(I14)),I14&lt;=0))),"Invalid selected terms","Inputs entered")</x:f>
        <x:v>Inputs entered</x:v>
      </x:c>
      <x:c r="J18" s="2"/>
      <x:c r="K18" s="2"/>
      <x:c r="L18" s="2"/>
      <x:c r="M18" s="2"/>
    </x:row>
    <x:row r="19" ht="25" customHeight="1">
      <x:c r="A19" s="2"/>
      <x:c r="B19" s="2"/>
      <x:c r="C19" s="2" t="str">
        <x:v>New investor ownership dilution</x:v>
      </x:c>
      <x:c r="D19" s="40" t="n">
        <x:f>IF(NOT(ISNUMBER(D12)),"n.a.",IF(D12=0,0,IF(OR(NOT(ISNUMBER(D14)),D14&lt;=0,D12&lt;0),"n.a.",D12/SUM(D12,D14))))</x:f>
        <x:v>0</x:v>
      </x:c>
      <x:c r="E19" s="40" t="n">
        <x:f>IF(NOT(ISNUMBER(E12)),"n.a.",IF(E12=0,0,IF(OR(NOT(ISNUMBER(E14)),E14&lt;=0,E12&lt;0),"n.a.",E12/SUM(E12,E14))))</x:f>
        <x:v>0.058823529411764705</x:v>
      </x:c>
      <x:c r="F19" s="40" t="n">
        <x:f>IF(NOT(ISNUMBER(F12)),"n.a.",IF(F12=0,0,IF(OR(NOT(ISNUMBER(F14)),F14&lt;=0,F12&lt;0),"n.a.",F12/SUM(F12,F14))))</x:f>
        <x:v>0.13043478260869565</x:v>
      </x:c>
      <x:c r="G19" s="6"/>
      <x:c r="H19" s="6" t="str">
        <x:v>Selected ownership dilution</x:v>
      </x:c>
      <x:c r="I19" s="40" t="n">
        <x:f>IF(I18&lt;&gt;"Inputs entered","",IF(I12=0,0,I12/SUM(I12,I14)))</x:f>
        <x:v>0.058823529411764705</x:v>
      </x:c>
      <x:c r="J19" s="2"/>
      <x:c r="K19" s="2"/>
      <x:c r="L19" s="2"/>
      <x:c r="M19" s="2"/>
    </x:row>
    <x:row r="20" ht="25" customHeight="1">
      <x:c r="A20" s="2"/>
      <x:c r="B20" s="2"/>
      <x:c r="C20" s="2" t="str">
        <x:v>Buyer cash required at close</x:v>
      </x:c>
      <x:c r="D20" s="37" t="n">
        <x:f>IF(OR('Controls'!D34&lt;&gt;"Inputs entered",COUNT(D7,D12)&lt;&gt;2),"",SUM('Controls'!D18:D20)-SUM(D7,D12))</x:f>
        <x:v>33</x:v>
      </x:c>
      <x:c r="E20" s="37" t="n">
        <x:f>IF(OR('Controls'!D34&lt;&gt;"Inputs entered",COUNT(E7,E12)&lt;&gt;2),"",SUM('Controls'!D18:D20)-SUM(E7,E12))</x:f>
        <x:v>21</x:v>
      </x:c>
      <x:c r="F20" s="37" t="n">
        <x:f>IF(OR('Controls'!D34&lt;&gt;"Inputs entered",COUNT(F7,F12)&lt;&gt;2),"",SUM('Controls'!D18:D20)-SUM(F7,F12))</x:f>
        <x:v>20</x:v>
      </x:c>
      <x:c r="G20" s="6"/>
      <x:c r="H20" s="6" t="str">
        <x:v>Selected buyer cash required</x:v>
      </x:c>
      <x:c r="I20" s="37" t="n">
        <x:f>IF(I18&lt;&gt;"Inputs entered","",SUM('Controls'!D18:D20)-SUM(I7,I12))</x:f>
        <x:v>21</x:v>
      </x:c>
      <x:c r="J20" s="2"/>
      <x:c r="K20" s="2"/>
      <x:c r="L20" s="2"/>
      <x:c r="M20" s="2"/>
    </x:row>
    <x:row r="21" ht="25" customHeight="1">
      <x:c r="A21" s="2"/>
      <x:c r="B21" s="2"/>
      <x:c r="C21" s="2"/>
      <x:c r="D21" s="6"/>
      <x:c r="E21" s="6"/>
      <x:c r="F21" s="6"/>
      <x:c r="G21" s="6"/>
      <x:c r="H21" s="6" t="str">
        <x:v>Committed equity available</x:v>
      </x:c>
      <x:c r="I21" s="14" t="n">
        <x:f>IF(I18&lt;&gt;"Inputs entered","",IF(I13="Committed",I12,0))</x:f>
        <x:v>0</x:v>
      </x:c>
      <x:c r="J21" s="2"/>
      <x:c r="K21" s="2"/>
      <x:c r="L21" s="2"/>
      <x:c r="M21" s="2"/>
    </x:row>
    <x:row r="22" ht="25" customHeight="1">
      <x:c r="A22" s="2"/>
      <x:c r="B22" s="2"/>
      <x:c r="C22" s="2"/>
      <x:c r="D22" s="6"/>
      <x:c r="E22" s="6"/>
      <x:c r="F22" s="6"/>
      <x:c r="G22" s="6"/>
      <x:c r="H22" s="6" t="str">
        <x:v>Funding evidence</x:v>
      </x:c>
      <x:c r="I22" s="14" t="str">
        <x:f>IF(I18&lt;&gt;"Inputs entered",I18,IF(OR(AND(I7&gt;0,I11&lt;&gt;"Committed"),AND(I12&gt;0,I13&lt;&gt;"Committed"),I15&lt;&gt;"Confirmed"),"Open funding commitments","Funding confirmed"))</x:f>
        <x:v>Open funding commitments</x:v>
      </x:c>
      <x:c r="J22" s="2"/>
      <x:c r="K22" s="2"/>
      <x:c r="L22" s="2"/>
      <x:c r="M22" s="2"/>
    </x:row>
    <x:row r="23" ht="25" customHeight="1">
      <x:c r="A23" s="2"/>
      <x:c r="B23" s="2"/>
      <x:c r="C23" s="2"/>
      <x:c r="D23" s="6"/>
      <x:c r="E23" s="6"/>
      <x:c r="F23" s="6"/>
      <x:c r="G23" s="6"/>
      <x:c r="H23" s="6" t="str">
        <x:v>Proposed sources less uses</x:v>
      </x:c>
      <x:c r="I23" s="44" t="n">
        <x:f>IF(COUNT(I7,I12,I20)&lt;&gt;3,"",SUM(I7,I12,I20)-SUM('Controls'!D18:D20))</x:f>
        <x:v>0</x:v>
      </x:c>
      <x:c r="J23" s="2"/>
      <x:c r="K23" s="2"/>
      <x:c r="L23" s="2"/>
      <x:c r="M23" s="2"/>
    </x:row>
    <x:row r="24" ht="25" customHeight="1">
      <x:c r="A24" s="2"/>
      <x:c r="B24" s="2"/>
      <x:c r="C24" s="2"/>
      <x:c r="D24" s="6"/>
      <x:c r="E24" s="6"/>
      <x:c r="F24" s="6"/>
      <x:c r="G24" s="6"/>
      <x:c r="H24" s="6"/>
      <x:c r="I24" s="6"/>
      <x:c r="J24" s="2"/>
      <x:c r="K24" s="2"/>
      <x:c r="L24" s="2"/>
      <x:c r="M24" s="2"/>
    </x:row>
    <x:row r="25" ht="25" customHeight="1">
      <x:c r="A25" s="2"/>
      <x:c r="B25" s="2"/>
      <x:c r="C25" s="2"/>
      <x:c r="D25" s="6"/>
      <x:c r="E25" s="6"/>
      <x:c r="F25" s="6"/>
      <x:c r="G25" s="6"/>
      <x:c r="H25" s="6"/>
      <x:c r="I25" s="6"/>
      <x:c r="J25" s="2"/>
      <x:c r="K25" s="2"/>
      <x:c r="L25" s="2"/>
      <x:c r="M25" s="2"/>
    </x:row>
    <x:row r="26" ht="25" customHeight="1">
      <x:c r="A26" s="2"/>
      <x:c r="B26" s="2"/>
      <x:c r="C26" s="7" t="str">
        <x:v>The unpaid new-loan balance is repaid in Year 5. Existing debt follows its entered principal schedule.</x:v>
      </x:c>
      <x:c r="D26" s="6"/>
      <x:c r="E26" s="6"/>
      <x:c r="F26" s="6"/>
      <x:c r="G26" s="6"/>
      <x:c r="H26" s="6"/>
      <x:c r="I26" s="6"/>
      <x:c r="J26" s="2"/>
      <x:c r="K26" s="2"/>
      <x:c r="L26" s="2"/>
      <x:c r="M26" s="2"/>
    </x:row>
    <x:row r="27" ht="25" customHeight="1">
      <x:c r="A27" s="2"/>
      <x:c r="B27" s="2"/>
      <x:c r="C27" s="2"/>
      <x:c r="D27" s="6"/>
      <x:c r="E27" s="6"/>
      <x:c r="F27" s="6"/>
      <x:c r="G27" s="6"/>
      <x:c r="H27" s="6"/>
      <x:c r="I27" s="6"/>
      <x:c r="J27" s="2"/>
      <x:c r="K27" s="2"/>
      <x:c r="L27" s="2"/>
      <x:c r="M27" s="2"/>
    </x:row>
    <x:row r="28" ht="25" customHeight="1">
      <x:c r="A28" s="2"/>
      <x:c r="B28" s="2"/>
      <x:c r="C28" s="7" t="str">
        <x:v>Rates are fixed cash interest on opening principal. There is no refinancing, PIK, interest tax shield or terminal-sale funding.</x:v>
      </x:c>
      <x:c r="D28" s="6"/>
      <x:c r="E28" s="6"/>
      <x:c r="F28" s="6"/>
      <x:c r="G28" s="6"/>
      <x:c r="H28" s="6"/>
      <x:c r="I28" s="6"/>
      <x:c r="J28" s="2"/>
      <x:c r="K28" s="2"/>
      <x:c r="L28" s="2"/>
      <x:c r="M28" s="2"/>
    </x:row>
    <x:row r="29" ht="25" customHeight="1">
      <x:c r="A29" s="2"/>
      <x:c r="B29" s="2"/>
      <x:c r="C29" s="2"/>
      <x:c r="D29" s="6"/>
      <x:c r="E29" s="6"/>
      <x:c r="F29" s="6"/>
      <x:c r="G29" s="6"/>
      <x:c r="H29" s="6"/>
      <x:c r="I29" s="6"/>
      <x:c r="J29" s="2"/>
      <x:c r="K29" s="2"/>
      <x:c r="L29" s="2"/>
      <x:c r="M29" s="2"/>
    </x:row>
    <x:row r="30" ht="25" customHeight="1">
      <x:c r="A30" s="2"/>
      <x:c r="B30" s="2"/>
      <x:c r="C30" s="7" t="str">
        <x:v>Commitments and conditions require review. Modeled debt capacity is not a lender commitment or document covenant calculation.</x:v>
      </x:c>
      <x:c r="D30" s="6"/>
      <x:c r="E30" s="6"/>
      <x:c r="F30" s="6"/>
      <x:c r="G30" s="6"/>
      <x:c r="H30" s="6"/>
      <x:c r="I30" s="6"/>
      <x:c r="J30" s="2"/>
      <x:c r="K30" s="2"/>
      <x:c r="L30" s="2"/>
      <x:c r="M30" s="2"/>
    </x:row>
    <x:row r="31" ht="25" customHeight="1">
      <x:c r="A31" s="2"/>
      <x:c r="B31" s="2"/>
      <x:c r="C31" s="2"/>
      <x:c r="D31" s="6"/>
      <x:c r="E31" s="6"/>
      <x:c r="F31" s="6"/>
      <x:c r="G31" s="6"/>
      <x:c r="H31" s="6"/>
      <x:c r="I31" s="6"/>
      <x:c r="J31" s="2"/>
      <x:c r="K31" s="2"/>
      <x:c r="L31" s="2"/>
      <x:c r="M31" s="2"/>
    </x:row>
    <x:row r="32" ht="25" customHeight="1">
      <x:c r="A32" s="2"/>
      <x:c r="B32" s="2"/>
      <x:c r="C32" s="7" t="str">
        <x:v>Common equity dilution = new gross proceeds / (buyer pre-issue equity value + new gross proceeds).</x:v>
      </x:c>
      <x:c r="D32" s="6"/>
      <x:c r="E32" s="6"/>
      <x:c r="F32" s="6"/>
      <x:c r="G32" s="6"/>
      <x:c r="H32" s="6"/>
      <x:c r="I32" s="6"/>
      <x:c r="J32" s="2"/>
      <x:c r="K32" s="2"/>
      <x:c r="L32" s="2"/>
      <x:c r="M32" s="2"/>
    </x:row>
    <x:row r="33" ht="25" customHeight="1">
      <x:c r="A33" s="2"/>
      <x:c r="B33" s="2"/>
      <x:c r="C33" s="2"/>
      <x:c r="D33" s="6"/>
      <x:c r="E33" s="6"/>
      <x:c r="F33" s="6"/>
      <x:c r="G33" s="6"/>
      <x:c r="H33" s="6"/>
      <x:c r="I33" s="6"/>
      <x:c r="J33" s="2"/>
      <x:c r="K33" s="2"/>
      <x:c r="L33" s="2"/>
      <x:c r="M33" s="2"/>
    </x:row>
    <x:row r="34" ht="25" customHeight="1">
      <x:c r="A34" s="2"/>
      <x:c r="B34" s="2"/>
      <x:c r="C34" s="7" t="str">
        <x:v>Zero equity permits a blank pre-issue value. This does not model options, converts, preferred rights or EPS dilution.</x:v>
      </x:c>
      <x:c r="D34" s="6"/>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7" t="str">
        <x:v>Fees are entered once on Controls and paid at close. All three choices use that estimate until it is changed.</x:v>
      </x:c>
      <x:c r="D36" s="6"/>
      <x:c r="E36" s="6"/>
      <x:c r="F36" s="6"/>
      <x:c r="G36" s="6"/>
      <x:c r="H36" s="6"/>
      <x:c r="I36" s="6"/>
      <x:c r="J36" s="2"/>
      <x:c r="K36" s="2"/>
      <x:c r="L36" s="2"/>
      <x:c r="M36" s="2"/>
    </x:row>
    <x:row r="37" ht="25" customHeight="1">
      <x:c r="A37" s="2"/>
      <x:c r="B37" s="2"/>
      <x:c r="C37" s="2"/>
      <x:c r="D37" s="6"/>
      <x:c r="E37" s="6"/>
      <x:c r="F37" s="6"/>
      <x:c r="G37" s="6"/>
      <x:c r="H37" s="6"/>
      <x:c r="I37" s="6"/>
      <x:c r="J37" s="2"/>
      <x:c r="K37" s="2"/>
      <x:c r="L37" s="2"/>
      <x:c r="M37" s="2"/>
    </x:row>
    <x:row r="38" ht="25" customHeight="1">
      <x:c r="A38" s="2"/>
      <x:c r="B38" s="2"/>
      <x:c r="C38" s="2"/>
      <x:c r="D38" s="6"/>
      <x:c r="E38" s="6"/>
      <x:c r="F38" s="6"/>
      <x:c r="G38" s="6"/>
      <x:c r="H38" s="6"/>
      <x:c r="I38" s="6"/>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2"/>
      <x:c r="D40" s="6"/>
      <x:c r="E40" s="6"/>
      <x:c r="F40" s="6"/>
      <x:c r="G40" s="6"/>
      <x:c r="H40" s="6"/>
      <x:c r="I40" s="6"/>
      <x:c r="J40" s="2"/>
      <x:c r="K40" s="2"/>
      <x:c r="L40" s="2"/>
      <x:c r="M40" s="2"/>
    </x:row>
    <x:row r="41" ht="25" customHeight="1">
      <x:c r="A41" s="2"/>
      <x:c r="B41" s="2"/>
      <x:c r="C41" s="2"/>
      <x:c r="D41" s="6"/>
      <x:c r="E41" s="6"/>
      <x:c r="F41" s="6"/>
      <x:c r="G41" s="6"/>
      <x:c r="H41" s="6"/>
      <x:c r="I41" s="6"/>
      <x:c r="J41" s="2"/>
      <x:c r="K41" s="2"/>
      <x:c r="L41" s="2"/>
      <x:c r="M41" s="2"/>
    </x:row>
    <x:row r="42" ht="25" customHeight="1">
      <x:c r="A42" s="2"/>
      <x:c r="B42" s="2"/>
      <x:c r="C42" s="2"/>
      <x:c r="D42" s="6"/>
      <x:c r="E42" s="6"/>
      <x:c r="F42" s="6"/>
      <x:c r="G42" s="6"/>
      <x:c r="H42" s="6"/>
      <x:c r="I42" s="6"/>
      <x:c r="J42" s="2"/>
      <x:c r="K42" s="2"/>
      <x:c r="L42" s="2"/>
      <x:c r="M42" s="2"/>
    </x:row>
    <x:row r="43" ht="25" customHeight="1">
      <x:c r="A43" s="2"/>
      <x:c r="B43" s="2"/>
      <x:c r="C43" s="2"/>
      <x:c r="D43" s="6"/>
      <x:c r="E43" s="6"/>
      <x:c r="F43" s="6"/>
      <x:c r="G43" s="6"/>
      <x:c r="H43" s="6"/>
      <x:c r="I43" s="6"/>
      <x:c r="J43" s="2"/>
      <x:c r="K43" s="2"/>
      <x:c r="L43" s="2"/>
      <x:c r="M43" s="2"/>
    </x:row>
    <x:row r="44" ht="25" customHeight="1">
      <x:c r="A44" s="2"/>
      <x:c r="B44" s="2"/>
      <x:c r="C44" s="2"/>
      <x:c r="D44" s="6"/>
      <x:c r="E44" s="6"/>
      <x:c r="F44" s="6"/>
      <x:c r="G44" s="6"/>
      <x:c r="H44" s="6"/>
      <x:c r="I44" s="6"/>
      <x:c r="J44" s="2"/>
      <x:c r="K44" s="2"/>
      <x:c r="L44" s="2"/>
      <x:c r="M44" s="2"/>
    </x:row>
    <x:row r="45" ht="25" customHeight="1">
      <x:c r="A45" s="2"/>
      <x:c r="B45" s="2"/>
      <x:c r="C45" s="2"/>
      <x:c r="D45" s="6"/>
      <x:c r="E45" s="6"/>
      <x:c r="F45" s="6"/>
      <x:c r="G45" s="6"/>
      <x:c r="H45" s="6"/>
      <x:c r="I45" s="6"/>
      <x:c r="J45" s="2"/>
      <x:c r="K45" s="2"/>
      <x:c r="L45" s="2"/>
      <x:c r="M45" s="2"/>
    </x:row>
    <x:row r="46" ht="25" customHeight="1">
      <x:c r="A46" s="2"/>
      <x:c r="B46" s="2"/>
      <x:c r="C46" s="2"/>
      <x:c r="D46" s="6"/>
      <x:c r="E46" s="6"/>
      <x:c r="F46" s="6"/>
      <x:c r="G46" s="6"/>
      <x:c r="H46" s="6"/>
      <x:c r="I46" s="6"/>
      <x:c r="J46" s="2"/>
      <x:c r="K46" s="2"/>
      <x:c r="L46" s="2"/>
      <x:c r="M46" s="2"/>
    </x:row>
    <x:row r="47" ht="25" customHeight="1">
      <x:c r="A47" s="2"/>
      <x:c r="B47" s="2"/>
      <x:c r="C47" s="2"/>
      <x:c r="D47" s="6"/>
      <x:c r="E47" s="6"/>
      <x:c r="F47" s="6"/>
      <x:c r="G47" s="6"/>
      <x:c r="H47" s="6"/>
      <x:c r="I47" s="6"/>
      <x:c r="J47" s="2"/>
      <x:c r="K47" s="2"/>
      <x:c r="L47" s="2"/>
      <x:c r="M47" s="2"/>
    </x:row>
    <x:row r="48" ht="25" customHeight="1">
      <x:c r="A48" s="2"/>
      <x:c r="B48" s="2"/>
      <x:c r="C48" s="2"/>
      <x:c r="D48" s="6"/>
      <x:c r="E48" s="6"/>
      <x:c r="F48" s="6"/>
      <x:c r="G48" s="6"/>
      <x:c r="H48" s="6"/>
      <x:c r="I48" s="6"/>
      <x:c r="J48" s="2"/>
      <x:c r="K48" s="2"/>
      <x:c r="L48" s="2"/>
      <x:c r="M48" s="2"/>
    </x:row>
    <x:row r="49" ht="25" customHeight="1">
      <x:c r="A49" s="2"/>
      <x:c r="B49" s="2"/>
      <x:c r="C49" s="2"/>
      <x:c r="D49" s="6"/>
      <x:c r="E49" s="6"/>
      <x:c r="F49" s="6"/>
      <x:c r="G49" s="6"/>
      <x:c r="H49" s="6"/>
      <x:c r="I49" s="6"/>
      <x:c r="J49" s="2"/>
      <x:c r="K49" s="2"/>
      <x:c r="L49" s="2"/>
      <x:c r="M49" s="2"/>
    </x:row>
    <x:row r="50" ht="25" customHeight="1">
      <x:c r="A50" s="2"/>
      <x:c r="B50" s="2"/>
      <x:c r="C50" s="2"/>
      <x:c r="D50" s="6"/>
      <x:c r="E50" s="6"/>
      <x:c r="F50" s="6"/>
      <x:c r="G50" s="6"/>
      <x:c r="H50" s="6"/>
      <x:c r="I50" s="6"/>
      <x:c r="J50" s="2"/>
      <x:c r="K50" s="2"/>
      <x:c r="L50" s="2"/>
      <x:c r="M50" s="2"/>
    </x:row>
    <x:row r="51" ht="25" customHeight="1">
      <x:c r="A51" s="2"/>
      <x:c r="B51" s="2"/>
      <x:c r="C51" s="2"/>
      <x:c r="D51" s="6"/>
      <x:c r="E51" s="6"/>
      <x:c r="F51" s="6"/>
      <x:c r="G51" s="6"/>
      <x:c r="H51" s="6"/>
      <x:c r="I51" s="6"/>
      <x:c r="J51" s="2"/>
      <x:c r="K51" s="2"/>
      <x:c r="L51" s="2"/>
      <x:c r="M51" s="2"/>
    </x:row>
    <x:row r="52" ht="25" customHeight="1">
      <x:c r="A52" s="2"/>
      <x:c r="B52" s="2"/>
      <x:c r="C52" s="2"/>
      <x:c r="D52" s="6"/>
      <x:c r="E52" s="6"/>
      <x:c r="F52" s="6"/>
      <x:c r="G52" s="6"/>
      <x:c r="H52" s="6"/>
      <x:c r="I52" s="6"/>
      <x:c r="J52" s="2"/>
      <x:c r="K52" s="2"/>
      <x:c r="L52" s="2"/>
      <x:c r="M52" s="2"/>
    </x:row>
    <x:row r="53" ht="25" customHeight="1">
      <x:c r="A53" s="2"/>
      <x:c r="B53" s="2"/>
      <x:c r="C53" s="2"/>
      <x:c r="D53" s="6"/>
      <x:c r="E53" s="6"/>
      <x:c r="F53" s="6"/>
      <x:c r="G53" s="6"/>
      <x:c r="H53" s="6"/>
      <x:c r="I53" s="6"/>
      <x:c r="J53" s="2"/>
      <x:c r="K53" s="2"/>
      <x:c r="L53" s="2"/>
      <x:c r="M53" s="2"/>
    </x:row>
    <x:row r="54" ht="25" customHeight="1">
      <x:c r="A54" s="2"/>
      <x:c r="B54" s="2"/>
      <x:c r="C54" s="2"/>
      <x:c r="D54" s="6"/>
      <x:c r="E54" s="6"/>
      <x:c r="F54" s="6"/>
      <x:c r="G54" s="6"/>
      <x:c r="H54" s="6"/>
      <x:c r="I54" s="6"/>
      <x:c r="J54" s="2"/>
      <x:c r="K54" s="2"/>
      <x:c r="L54" s="2"/>
      <x:c r="M54" s="2"/>
    </x:row>
    <x:row r="55" ht="25" customHeight="1">
      <x:c r="A55" s="2"/>
      <x:c r="B55" s="2"/>
      <x:c r="C55" s="2"/>
      <x:c r="D55" s="6"/>
      <x:c r="E55" s="6"/>
      <x:c r="F55" s="6"/>
      <x:c r="G55" s="6"/>
      <x:c r="H55" s="6"/>
      <x:c r="I55" s="6"/>
      <x:c r="J55" s="2"/>
      <x:c r="K55" s="2"/>
      <x:c r="L55" s="2"/>
      <x:c r="M55" s="2"/>
    </x:row>
    <x:row r="56" ht="25" customHeight="1">
      <x:c r="A56" s="2"/>
      <x:c r="B56" s="2"/>
      <x:c r="C56" s="2"/>
      <x:c r="D56" s="6"/>
      <x:c r="E56" s="6"/>
      <x:c r="F56" s="6"/>
      <x:c r="G56" s="6"/>
      <x:c r="H56" s="6"/>
      <x:c r="I56" s="6"/>
      <x:c r="J56" s="2"/>
      <x:c r="K56" s="2"/>
      <x:c r="L56" s="2"/>
      <x:c r="M56" s="2"/>
    </x:row>
    <x:row r="57" ht="25" customHeight="1">
      <x:c r="A57" s="2"/>
      <x:c r="B57" s="2"/>
      <x:c r="C57" s="2"/>
      <x:c r="D57" s="6"/>
      <x:c r="E57" s="6"/>
      <x:c r="F57" s="6"/>
      <x:c r="G57" s="6"/>
      <x:c r="H57" s="6"/>
      <x:c r="I57" s="6"/>
      <x:c r="J57" s="2"/>
      <x:c r="K57" s="2"/>
      <x:c r="L57" s="2"/>
      <x:c r="M57" s="2"/>
    </x:row>
    <x:row r="58" ht="25" customHeight="1">
      <x:c r="A58" s="2"/>
      <x:c r="B58" s="2"/>
      <x:c r="C58" s="2"/>
      <x:c r="D58" s="6"/>
      <x:c r="E58" s="6"/>
      <x:c r="F58" s="6"/>
      <x:c r="G58" s="6"/>
      <x:c r="H58" s="6"/>
      <x:c r="I58" s="6"/>
      <x:c r="J58" s="2"/>
      <x:c r="K58" s="2"/>
      <x:c r="L58" s="2"/>
      <x:c r="M58" s="2"/>
    </x:row>
    <x:row r="59" ht="25" customHeight="1">
      <x:c r="A59" s="2"/>
      <x:c r="B59" s="2"/>
      <x:c r="C59" s="2"/>
      <x:c r="D59" s="6"/>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2"/>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2"/>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2"/>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2"/>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conditionalFormatting sqref="I18:I22">
    <x:cfRule type="containsText" dxfId="14" priority="1" operator="containsText" text="Open"/>
    <x:cfRule type="containsText" dxfId="15" priority="2" operator="containsText" text="Invalid"/>
    <x:cfRule type="containsText" dxfId="16" priority="3" operator="containsText" text="Missing"/>
    <x:cfRule type="containsText" dxfId="17" priority="4" operator="containsText" text="Hold"/>
    <x:cfRule type="containsText" dxfId="18" priority="5" operator="containsText" text="Select Downside"/>
    <x:cfRule type="containsText" dxfId="19" priority="6" operator="containsText" text="No positive"/>
    <x:cfRule type="containsText" dxfId="20" priority="7" operator="containsText" text="Breach"/>
  </x:conditionalFormatting>
  <x:dataValidations count="3">
    <x:dataValidation type="list" sqref="D11:F11">
      <x:formula1>"Committed,Uncommitted,Not used"</x:formula1>
    </x:dataValidation>
    <x:dataValidation type="list" sqref="D13:F13">
      <x:formula1>"Committed,Uncommitted,Not used"</x:formula1>
    </x:dataValidation>
    <x:dataValidation type="list" sqref="D15:F15">
      <x:formula1>"Confirmed,Pending"</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46" hidden="0" customWidth="1"/>
    <x:col min="4" max="4" width="28"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Capacity</x:v>
      </x:c>
      <x:c r="D2" s="2"/>
      <x:c r="E2" s="2"/>
      <x:c r="F2" s="2"/>
      <x:c r="G2" s="2"/>
      <x:c r="H2" s="2"/>
      <x:c r="I2" s="2"/>
      <x:c r="J2" s="2"/>
      <x:c r="K2" s="2"/>
      <x:c r="L2" s="2"/>
      <x:c r="M2" s="2"/>
    </x:row>
    <x:row r="3" ht="25" customHeight="1">
      <x:c r="A3" s="2"/>
      <x:c r="B3" s="2"/>
      <x:c r="C3" s="2"/>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Debt and liquidity capacity</x:v>
      </x:c>
      <x:c r="D6" s="31" t="str">
        <x:v>At close</x:v>
      </x:c>
      <x:c r="E6" s="31" t="str">
        <x:v>Year 1</x:v>
      </x:c>
      <x:c r="F6" s="31" t="str">
        <x:v>Year 2</x:v>
      </x:c>
      <x:c r="G6" s="31" t="str">
        <x:v>Year 3</x:v>
      </x:c>
      <x:c r="H6" s="31" t="str">
        <x:v>Year 4</x:v>
      </x:c>
      <x:c r="I6" s="31" t="str">
        <x:v>Year 5</x:v>
      </x:c>
      <x:c r="J6" s="2"/>
      <x:c r="K6" s="2"/>
      <x:c r="L6" s="2"/>
      <x:c r="M6" s="2"/>
    </x:row>
    <x:row r="7" ht="25" customHeight="1">
      <x:c r="A7" s="2"/>
      <x:c r="B7" s="2"/>
      <x:c r="C7" s="2" t="str">
        <x:v>Buyer standalone EBITDA</x:v>
      </x:c>
      <x:c r="D7" s="6"/>
      <x:c r="E7" s="37" t="n">
        <x:f>IF(OR('Controls'!$D$34&lt;&gt;"Inputs entered",'Controls'!$D$98&lt;&gt;"Inputs entered",'Financing'!$I$18&lt;&gt;"Inputs entered"),"",'Controls'!E68)</x:f>
        <x:v>12</x:v>
      </x:c>
      <x:c r="F7" s="37" t="n">
        <x:f>IF(OR('Controls'!$D$34&lt;&gt;"Inputs entered",'Controls'!$D$98&lt;&gt;"Inputs entered",'Financing'!$I$18&lt;&gt;"Inputs entered"),"",'Controls'!F68)</x:f>
        <x:v>13</x:v>
      </x:c>
      <x:c r="G7" s="37" t="n">
        <x:f>IF(OR('Controls'!$D$34&lt;&gt;"Inputs entered",'Controls'!$D$98&lt;&gt;"Inputs entered",'Financing'!$I$18&lt;&gt;"Inputs entered"),"",'Controls'!G68)</x:f>
        <x:v>14</x:v>
      </x:c>
      <x:c r="H7" s="37" t="n">
        <x:f>IF(OR('Controls'!$D$34&lt;&gt;"Inputs entered",'Controls'!$D$98&lt;&gt;"Inputs entered",'Financing'!$I$18&lt;&gt;"Inputs entered"),"",'Controls'!H68)</x:f>
        <x:v>15</x:v>
      </x:c>
      <x:c r="I7" s="37" t="n">
        <x:f>IF(OR('Controls'!$D$34&lt;&gt;"Inputs entered",'Controls'!$D$98&lt;&gt;"Inputs entered",'Financing'!$I$18&lt;&gt;"Inputs entered"),"",'Controls'!I68)</x:f>
        <x:v>16</x:v>
      </x:c>
      <x:c r="J7" s="2"/>
      <x:c r="K7" s="2"/>
      <x:c r="L7" s="2"/>
      <x:c r="M7" s="2"/>
    </x:row>
    <x:row r="8" ht="25" customHeight="1">
      <x:c r="A8" s="2"/>
      <x:c r="B8" s="2"/>
      <x:c r="C8" s="2" t="str">
        <x:v>Target standalone EBITDA</x:v>
      </x:c>
      <x:c r="D8" s="6"/>
      <x:c r="E8" s="37" t="n">
        <x:f>IF(OR('Controls'!$D$34&lt;&gt;"Inputs entered",'Controls'!$D$98&lt;&gt;"Inputs entered",'Financing'!$I$18&lt;&gt;"Inputs entered"),"",'Deal cash flow'!E10)</x:f>
        <x:v>6</x:v>
      </x:c>
      <x:c r="F8" s="37" t="n">
        <x:f>IF(OR('Controls'!$D$34&lt;&gt;"Inputs entered",'Controls'!$D$98&lt;&gt;"Inputs entered",'Financing'!$I$18&lt;&gt;"Inputs entered"),"",'Deal cash flow'!F10)</x:f>
        <x:v>6.93</x:v>
      </x:c>
      <x:c r="G8" s="37" t="n">
        <x:f>IF(OR('Controls'!$D$34&lt;&gt;"Inputs entered",'Controls'!$D$98&lt;&gt;"Inputs entered",'Financing'!$I$18&lt;&gt;"Inputs entered"),"",'Deal cash flow'!G10)</x:f>
        <x:v>7.92</x:v>
      </x:c>
      <x:c r="H8" s="37" t="n">
        <x:f>IF(OR('Controls'!$D$34&lt;&gt;"Inputs entered",'Controls'!$D$98&lt;&gt;"Inputs entered",'Financing'!$I$18&lt;&gt;"Inputs entered"),"",'Deal cash flow'!H10)</x:f>
        <x:v>8.58</x:v>
      </x:c>
      <x:c r="I8" s="37" t="n">
        <x:f>IF(OR('Controls'!$D$34&lt;&gt;"Inputs entered",'Controls'!$D$98&lt;&gt;"Inputs entered",'Financing'!$I$18&lt;&gt;"Inputs entered"),"",'Deal cash flow'!I10)</x:f>
        <x:v>9.24</x:v>
      </x:c>
      <x:c r="J8" s="2"/>
      <x:c r="K8" s="2"/>
      <x:c r="L8" s="2"/>
      <x:c r="M8" s="2"/>
    </x:row>
    <x:row r="9" ht="25" customHeight="1">
      <x:c r="A9" s="2"/>
      <x:c r="B9" s="2"/>
      <x:c r="C9" s="2" t="str">
        <x:v>Combined EBITDA excluding synergies</x:v>
      </x:c>
      <x:c r="D9" s="6"/>
      <x:c r="E9" s="37" t="n">
        <x:f>IF(OR('Controls'!$D$34&lt;&gt;"Inputs entered",'Controls'!$D$98&lt;&gt;"Inputs entered",'Financing'!$I$18&lt;&gt;"Inputs entered"),"",SUM(E7:E8))</x:f>
        <x:v>18</x:v>
      </x:c>
      <x:c r="F9" s="37" t="n">
        <x:f>IF(OR('Controls'!$D$34&lt;&gt;"Inputs entered",'Controls'!$D$98&lt;&gt;"Inputs entered",'Financing'!$I$18&lt;&gt;"Inputs entered"),"",SUM(F7:F8))</x:f>
        <x:v>19.93</x:v>
      </x:c>
      <x:c r="G9" s="37" t="n">
        <x:f>IF(OR('Controls'!$D$34&lt;&gt;"Inputs entered",'Controls'!$D$98&lt;&gt;"Inputs entered",'Financing'!$I$18&lt;&gt;"Inputs entered"),"",SUM(G7:G8))</x:f>
        <x:v>21.92</x:v>
      </x:c>
      <x:c r="H9" s="37" t="n">
        <x:f>IF(OR('Controls'!$D$34&lt;&gt;"Inputs entered",'Controls'!$D$98&lt;&gt;"Inputs entered",'Financing'!$I$18&lt;&gt;"Inputs entered"),"",SUM(H7:H8))</x:f>
        <x:v>23.58</x:v>
      </x:c>
      <x:c r="I9" s="37" t="n">
        <x:f>IF(OR('Controls'!$D$34&lt;&gt;"Inputs entered",'Controls'!$D$98&lt;&gt;"Inputs entered",'Financing'!$I$18&lt;&gt;"Inputs entered"),"",SUM(I7:I8))</x:f>
        <x:v>25.240000000000002</x:v>
      </x:c>
      <x:c r="J9" s="2"/>
      <x:c r="K9" s="2"/>
      <x:c r="L9" s="2"/>
      <x:c r="M9" s="2"/>
    </x:row>
    <x:row r="10" ht="25" customHeight="1">
      <x:c r="A10" s="2"/>
      <x:c r="B10" s="2"/>
      <x:c r="C10" s="2"/>
      <x:c r="D10" s="6"/>
      <x:c r="E10" s="6"/>
      <x:c r="F10" s="6"/>
      <x:c r="G10" s="6"/>
      <x:c r="H10" s="6"/>
      <x:c r="I10" s="6"/>
      <x:c r="J10" s="2"/>
      <x:c r="K10" s="2"/>
      <x:c r="L10" s="2"/>
      <x:c r="M10" s="2"/>
    </x:row>
    <x:row r="11" ht="25" customHeight="1">
      <x:c r="A11" s="2"/>
      <x:c r="B11" s="2"/>
      <x:c r="C11" s="2" t="str">
        <x:v>Existing debt at start</x:v>
      </x:c>
      <x:c r="D11" s="6"/>
      <x:c r="E11" s="37" t="n">
        <x:f>IF(OR('Controls'!$D$34&lt;&gt;"Inputs entered",'Controls'!$D$98&lt;&gt;"Inputs entered",'Financing'!$I$18&lt;&gt;"Inputs entered"),"",'Controls'!$D$27)</x:f>
        <x:v>15</x:v>
      </x:c>
      <x:c r="F11" s="37" t="n">
        <x:f>IF(OR('Controls'!$D$34&lt;&gt;"Inputs entered",'Controls'!$D$98&lt;&gt;"Inputs entered",'Financing'!$I$18&lt;&gt;"Inputs entered"),"",E13)</x:f>
        <x:v>14</x:v>
      </x:c>
      <x:c r="G11" s="37" t="n">
        <x:f>IF(OR('Controls'!$D$34&lt;&gt;"Inputs entered",'Controls'!$D$98&lt;&gt;"Inputs entered",'Financing'!$I$18&lt;&gt;"Inputs entered"),"",F13)</x:f>
        <x:v>13</x:v>
      </x:c>
      <x:c r="H11" s="37" t="n">
        <x:f>IF(OR('Controls'!$D$34&lt;&gt;"Inputs entered",'Controls'!$D$98&lt;&gt;"Inputs entered",'Financing'!$I$18&lt;&gt;"Inputs entered"),"",G13)</x:f>
        <x:v>12</x:v>
      </x:c>
      <x:c r="I11" s="37" t="n">
        <x:f>IF(OR('Controls'!$D$34&lt;&gt;"Inputs entered",'Controls'!$D$98&lt;&gt;"Inputs entered",'Financing'!$I$18&lt;&gt;"Inputs entered"),"",H13)</x:f>
        <x:v>11</x:v>
      </x:c>
      <x:c r="J11" s="2"/>
      <x:c r="K11" s="2"/>
      <x:c r="L11" s="2"/>
      <x:c r="M11" s="2"/>
    </x:row>
    <x:row r="12" ht="25" customHeight="1">
      <x:c r="A12" s="2"/>
      <x:c r="B12" s="2"/>
      <x:c r="C12" s="2" t="str">
        <x:v>Existing principal repaid</x:v>
      </x:c>
      <x:c r="D12" s="6"/>
      <x:c r="E12" s="37" t="n">
        <x:f>IF(OR('Controls'!$D$34&lt;&gt;"Inputs entered",'Controls'!$D$98&lt;&gt;"Inputs entered",'Financing'!$I$18&lt;&gt;"Inputs entered"),"",'Controls'!E76)</x:f>
        <x:v>1</x:v>
      </x:c>
      <x:c r="F12" s="37" t="n">
        <x:f>IF(OR('Controls'!$D$34&lt;&gt;"Inputs entered",'Controls'!$D$98&lt;&gt;"Inputs entered",'Financing'!$I$18&lt;&gt;"Inputs entered"),"",'Controls'!F76)</x:f>
        <x:v>1</x:v>
      </x:c>
      <x:c r="G12" s="37" t="n">
        <x:f>IF(OR('Controls'!$D$34&lt;&gt;"Inputs entered",'Controls'!$D$98&lt;&gt;"Inputs entered",'Financing'!$I$18&lt;&gt;"Inputs entered"),"",'Controls'!G76)</x:f>
        <x:v>1</x:v>
      </x:c>
      <x:c r="H12" s="37" t="n">
        <x:f>IF(OR('Controls'!$D$34&lt;&gt;"Inputs entered",'Controls'!$D$98&lt;&gt;"Inputs entered",'Financing'!$I$18&lt;&gt;"Inputs entered"),"",'Controls'!H76)</x:f>
        <x:v>1</x:v>
      </x:c>
      <x:c r="I12" s="37" t="n">
        <x:f>IF(OR('Controls'!$D$34&lt;&gt;"Inputs entered",'Controls'!$D$98&lt;&gt;"Inputs entered",'Financing'!$I$18&lt;&gt;"Inputs entered"),"",'Controls'!I76)</x:f>
        <x:v>11</x:v>
      </x:c>
      <x:c r="J12" s="2"/>
      <x:c r="K12" s="2"/>
      <x:c r="L12" s="2"/>
      <x:c r="M12" s="2"/>
    </x:row>
    <x:row r="13" ht="25" customHeight="1">
      <x:c r="A13" s="2"/>
      <x:c r="B13" s="2"/>
      <x:c r="C13" s="2" t="str">
        <x:v>Existing debt at end</x:v>
      </x:c>
      <x:c r="D13" s="6"/>
      <x:c r="E13" s="37" t="n">
        <x:f>IF(OR('Controls'!$D$34&lt;&gt;"Inputs entered",'Controls'!$D$98&lt;&gt;"Inputs entered",'Financing'!$I$18&lt;&gt;"Inputs entered"),"",E11-E12)</x:f>
        <x:v>14</x:v>
      </x:c>
      <x:c r="F13" s="37" t="n">
        <x:f>IF(OR('Controls'!$D$34&lt;&gt;"Inputs entered",'Controls'!$D$98&lt;&gt;"Inputs entered",'Financing'!$I$18&lt;&gt;"Inputs entered"),"",F11-F12)</x:f>
        <x:v>13</x:v>
      </x:c>
      <x:c r="G13" s="37" t="n">
        <x:f>IF(OR('Controls'!$D$34&lt;&gt;"Inputs entered",'Controls'!$D$98&lt;&gt;"Inputs entered",'Financing'!$I$18&lt;&gt;"Inputs entered"),"",G11-G12)</x:f>
        <x:v>12</x:v>
      </x:c>
      <x:c r="H13" s="37" t="n">
        <x:f>IF(OR('Controls'!$D$34&lt;&gt;"Inputs entered",'Controls'!$D$98&lt;&gt;"Inputs entered",'Financing'!$I$18&lt;&gt;"Inputs entered"),"",H11-H12)</x:f>
        <x:v>11</x:v>
      </x:c>
      <x:c r="I13" s="37" t="n">
        <x:f>IF(OR('Controls'!$D$34&lt;&gt;"Inputs entered",'Controls'!$D$98&lt;&gt;"Inputs entered",'Financing'!$I$18&lt;&gt;"Inputs entered"),"",I11-I12)</x:f>
        <x:v>0</x:v>
      </x:c>
      <x:c r="J13" s="2"/>
      <x:c r="K13" s="2"/>
      <x:c r="L13" s="2"/>
      <x:c r="M13" s="2"/>
    </x:row>
    <x:row r="14" ht="25" customHeight="1">
      <x:c r="A14" s="2"/>
      <x:c r="B14" s="2"/>
      <x:c r="C14" s="2" t="str">
        <x:v>Existing cash interest</x:v>
      </x:c>
      <x:c r="D14" s="6"/>
      <x:c r="E14" s="37" t="n">
        <x:f>IF(OR('Controls'!$D$34&lt;&gt;"Inputs entered",'Controls'!$D$98&lt;&gt;"Inputs entered",'Financing'!$I$18&lt;&gt;"Inputs entered"),"",E11*'Controls'!$D$28)</x:f>
        <x:v>0.8999999999999999</x:v>
      </x:c>
      <x:c r="F14" s="37" t="n">
        <x:f>IF(OR('Controls'!$D$34&lt;&gt;"Inputs entered",'Controls'!$D$98&lt;&gt;"Inputs entered",'Financing'!$I$18&lt;&gt;"Inputs entered"),"",F11*'Controls'!$D$28)</x:f>
        <x:v>0.84</x:v>
      </x:c>
      <x:c r="G14" s="37" t="n">
        <x:f>IF(OR('Controls'!$D$34&lt;&gt;"Inputs entered",'Controls'!$D$98&lt;&gt;"Inputs entered",'Financing'!$I$18&lt;&gt;"Inputs entered"),"",G11*'Controls'!$D$28)</x:f>
        <x:v>0.78</x:v>
      </x:c>
      <x:c r="H14" s="37" t="n">
        <x:f>IF(OR('Controls'!$D$34&lt;&gt;"Inputs entered",'Controls'!$D$98&lt;&gt;"Inputs entered",'Financing'!$I$18&lt;&gt;"Inputs entered"),"",H11*'Controls'!$D$28)</x:f>
        <x:v>0.72</x:v>
      </x:c>
      <x:c r="I14" s="37" t="n">
        <x:f>IF(OR('Controls'!$D$34&lt;&gt;"Inputs entered",'Controls'!$D$98&lt;&gt;"Inputs entered",'Financing'!$I$18&lt;&gt;"Inputs entered"),"",I11*'Controls'!$D$28)</x:f>
        <x:v>0.6599999999999999</x:v>
      </x:c>
      <x:c r="J14" s="2"/>
      <x:c r="K14" s="2"/>
      <x:c r="L14" s="2"/>
      <x:c r="M14" s="2"/>
    </x:row>
    <x:row r="15" ht="25" customHeight="1">
      <x:c r="A15" s="2"/>
      <x:c r="B15" s="2"/>
      <x:c r="C15" s="2"/>
      <x:c r="D15" s="6"/>
      <x:c r="E15" s="6"/>
      <x:c r="F15" s="6"/>
      <x:c r="G15" s="6"/>
      <x:c r="H15" s="6"/>
      <x:c r="I15" s="6"/>
      <x:c r="J15" s="2"/>
      <x:c r="K15" s="2"/>
      <x:c r="L15" s="2"/>
      <x:c r="M15" s="2"/>
    </x:row>
    <x:row r="16" ht="25" customHeight="1">
      <x:c r="A16" s="2"/>
      <x:c r="B16" s="2"/>
      <x:c r="C16" s="2" t="str">
        <x:v>New-debt opening balance factor</x:v>
      </x:c>
      <x:c r="D16" s="6"/>
      <x:c r="E16" s="39" t="n">
        <x:f>IF(OR('Controls'!$D$34&lt;&gt;"Inputs entered",'Controls'!$D$98&lt;&gt;"Inputs entered",'Financing'!$I$18&lt;&gt;"Inputs entered"),"",1)</x:f>
        <x:v>1</x:v>
      </x:c>
      <x:c r="F16" s="39" t="n">
        <x:f>IF(OR('Controls'!$D$34&lt;&gt;"Inputs entered",'Controls'!$D$98&lt;&gt;"Inputs entered",'Financing'!$I$18&lt;&gt;"Inputs entered"),"",E18)</x:f>
        <x:v>0.85</x:v>
      </x:c>
      <x:c r="G16" s="39" t="n">
        <x:f>IF(OR('Controls'!$D$34&lt;&gt;"Inputs entered",'Controls'!$D$98&lt;&gt;"Inputs entered",'Financing'!$I$18&lt;&gt;"Inputs entered"),"",F18)</x:f>
        <x:v>0.7</x:v>
      </x:c>
      <x:c r="H16" s="39" t="n">
        <x:f>IF(OR('Controls'!$D$34&lt;&gt;"Inputs entered",'Controls'!$D$98&lt;&gt;"Inputs entered",'Financing'!$I$18&lt;&gt;"Inputs entered"),"",G18)</x:f>
        <x:v>0.5499999999999999</x:v>
      </x:c>
      <x:c r="I16" s="39" t="n">
        <x:f>IF(OR('Controls'!$D$34&lt;&gt;"Inputs entered",'Controls'!$D$98&lt;&gt;"Inputs entered",'Financing'!$I$18&lt;&gt;"Inputs entered"),"",H18)</x:f>
        <x:v>0.3999999999999999</x:v>
      </x:c>
      <x:c r="J16" s="2"/>
      <x:c r="K16" s="2"/>
      <x:c r="L16" s="2"/>
      <x:c r="M16" s="2"/>
    </x:row>
    <x:row r="17" ht="25" customHeight="1">
      <x:c r="A17" s="2"/>
      <x:c r="B17" s="2"/>
      <x:c r="C17" s="2" t="str">
        <x:v>New-debt principal payment factor</x:v>
      </x:c>
      <x:c r="D17" s="6"/>
      <x:c r="E17" s="39" t="n">
        <x:f>IF(OR('Controls'!$D$34&lt;&gt;"Inputs entered",'Controls'!$D$98&lt;&gt;"Inputs entered",'Financing'!$I$18&lt;&gt;"Inputs entered"),"",MIN(E16,'Financing'!$I$9))</x:f>
        <x:v>0.15</x:v>
      </x:c>
      <x:c r="F17" s="39" t="n">
        <x:f>IF(OR('Controls'!$D$34&lt;&gt;"Inputs entered",'Controls'!$D$98&lt;&gt;"Inputs entered",'Financing'!$I$18&lt;&gt;"Inputs entered"),"",MIN(F16,'Financing'!$I$9))</x:f>
        <x:v>0.15</x:v>
      </x:c>
      <x:c r="G17" s="39" t="n">
        <x:f>IF(OR('Controls'!$D$34&lt;&gt;"Inputs entered",'Controls'!$D$98&lt;&gt;"Inputs entered",'Financing'!$I$18&lt;&gt;"Inputs entered"),"",MIN(G16,'Financing'!$I$9))</x:f>
        <x:v>0.15</x:v>
      </x:c>
      <x:c r="H17" s="39" t="n">
        <x:f>IF(OR('Controls'!$D$34&lt;&gt;"Inputs entered",'Controls'!$D$98&lt;&gt;"Inputs entered",'Financing'!$I$18&lt;&gt;"Inputs entered"),"",MIN(H16,'Financing'!$I$9))</x:f>
        <x:v>0.15</x:v>
      </x:c>
      <x:c r="I17" s="39" t="n">
        <x:f>IF(OR('Controls'!$D$34&lt;&gt;"Inputs entered",'Controls'!$D$98&lt;&gt;"Inputs entered",'Financing'!$I$18&lt;&gt;"Inputs entered"),"",I16)</x:f>
        <x:v>0.3999999999999999</x:v>
      </x:c>
      <x:c r="J17" s="2"/>
      <x:c r="K17" s="2"/>
      <x:c r="L17" s="2"/>
      <x:c r="M17" s="2"/>
    </x:row>
    <x:row r="18" ht="25" customHeight="1">
      <x:c r="A18" s="2"/>
      <x:c r="B18" s="2"/>
      <x:c r="C18" s="2" t="str">
        <x:v>New-debt closing balance factor</x:v>
      </x:c>
      <x:c r="D18" s="6"/>
      <x:c r="E18" s="39" t="n">
        <x:f>IF(OR('Controls'!$D$34&lt;&gt;"Inputs entered",'Controls'!$D$98&lt;&gt;"Inputs entered",'Financing'!$I$18&lt;&gt;"Inputs entered"),"",E16-E17)</x:f>
        <x:v>0.85</x:v>
      </x:c>
      <x:c r="F18" s="39" t="n">
        <x:f>IF(OR('Controls'!$D$34&lt;&gt;"Inputs entered",'Controls'!$D$98&lt;&gt;"Inputs entered",'Financing'!$I$18&lt;&gt;"Inputs entered"),"",F16-F17)</x:f>
        <x:v>0.7</x:v>
      </x:c>
      <x:c r="G18" s="39" t="n">
        <x:f>IF(OR('Controls'!$D$34&lt;&gt;"Inputs entered",'Controls'!$D$98&lt;&gt;"Inputs entered",'Financing'!$I$18&lt;&gt;"Inputs entered"),"",G16-G17)</x:f>
        <x:v>0.5499999999999999</x:v>
      </x:c>
      <x:c r="H18" s="39" t="n">
        <x:f>IF(OR('Controls'!$D$34&lt;&gt;"Inputs entered",'Controls'!$D$98&lt;&gt;"Inputs entered",'Financing'!$I$18&lt;&gt;"Inputs entered"),"",H16-H17)</x:f>
        <x:v>0.3999999999999999</x:v>
      </x:c>
      <x:c r="I18" s="39" t="n">
        <x:f>IF(OR('Controls'!$D$34&lt;&gt;"Inputs entered",'Controls'!$D$98&lt;&gt;"Inputs entered",'Financing'!$I$18&lt;&gt;"Inputs entered"),"",I16-I17)</x:f>
        <x:v>0</x:v>
      </x:c>
      <x:c r="J18" s="2"/>
      <x:c r="K18" s="2"/>
      <x:c r="L18" s="2"/>
      <x:c r="M18" s="2"/>
    </x:row>
    <x:row r="19" ht="25" customHeight="1">
      <x:c r="A19" s="2"/>
      <x:c r="B19" s="2"/>
      <x:c r="C19" s="2" t="str">
        <x:v>New-debt cash interest factor</x:v>
      </x:c>
      <x:c r="D19" s="6"/>
      <x:c r="E19" s="39" t="n">
        <x:f>IF(OR('Controls'!$D$34&lt;&gt;"Inputs entered",'Controls'!$D$98&lt;&gt;"Inputs entered",'Financing'!$I$18&lt;&gt;"Inputs entered"),"",E16*'Financing'!$I$8)</x:f>
        <x:v>0.08</x:v>
      </x:c>
      <x:c r="F19" s="39" t="n">
        <x:f>IF(OR('Controls'!$D$34&lt;&gt;"Inputs entered",'Controls'!$D$98&lt;&gt;"Inputs entered",'Financing'!$I$18&lt;&gt;"Inputs entered"),"",F16*'Financing'!$I$8)</x:f>
        <x:v>0.068</x:v>
      </x:c>
      <x:c r="G19" s="39" t="n">
        <x:f>IF(OR('Controls'!$D$34&lt;&gt;"Inputs entered",'Controls'!$D$98&lt;&gt;"Inputs entered",'Financing'!$I$18&lt;&gt;"Inputs entered"),"",G16*'Financing'!$I$8)</x:f>
        <x:v>0.055999999999999994</x:v>
      </x:c>
      <x:c r="H19" s="39" t="n">
        <x:f>IF(OR('Controls'!$D$34&lt;&gt;"Inputs entered",'Controls'!$D$98&lt;&gt;"Inputs entered",'Financing'!$I$18&lt;&gt;"Inputs entered"),"",H16*'Financing'!$I$8)</x:f>
        <x:v>0.044</x:v>
      </x:c>
      <x:c r="I19" s="39" t="n">
        <x:f>IF(OR('Controls'!$D$34&lt;&gt;"Inputs entered",'Controls'!$D$98&lt;&gt;"Inputs entered",'Financing'!$I$18&lt;&gt;"Inputs entered"),"",I16*'Financing'!$I$8)</x:f>
        <x:v>0.031999999999999994</x:v>
      </x:c>
      <x:c r="J19" s="2"/>
      <x:c r="K19" s="2"/>
      <x:c r="L19" s="2"/>
      <x:c r="M19" s="2"/>
    </x:row>
    <x:row r="20" ht="25" customHeight="1">
      <x:c r="A20" s="2"/>
      <x:c r="B20" s="2"/>
      <x:c r="C20" s="2" t="str">
        <x:v>New-debt total service factor</x:v>
      </x:c>
      <x:c r="D20" s="6"/>
      <x:c r="E20" s="39" t="n">
        <x:f>IF(OR('Controls'!$D$34&lt;&gt;"Inputs entered",'Controls'!$D$98&lt;&gt;"Inputs entered",'Financing'!$I$18&lt;&gt;"Inputs entered"),"",SUM(E17,E19))</x:f>
        <x:v>0.22999999999999998</x:v>
      </x:c>
      <x:c r="F20" s="39" t="n">
        <x:f>IF(OR('Controls'!$D$34&lt;&gt;"Inputs entered",'Controls'!$D$98&lt;&gt;"Inputs entered",'Financing'!$I$18&lt;&gt;"Inputs entered"),"",SUM(F17,F19))</x:f>
        <x:v>0.218</x:v>
      </x:c>
      <x:c r="G20" s="39" t="n">
        <x:f>IF(OR('Controls'!$D$34&lt;&gt;"Inputs entered",'Controls'!$D$98&lt;&gt;"Inputs entered",'Financing'!$I$18&lt;&gt;"Inputs entered"),"",SUM(G17,G19))</x:f>
        <x:v>0.206</x:v>
      </x:c>
      <x:c r="H20" s="39" t="n">
        <x:f>IF(OR('Controls'!$D$34&lt;&gt;"Inputs entered",'Controls'!$D$98&lt;&gt;"Inputs entered",'Financing'!$I$18&lt;&gt;"Inputs entered"),"",SUM(H17,H19))</x:f>
        <x:v>0.194</x:v>
      </x:c>
      <x:c r="I20" s="39" t="n">
        <x:f>IF(OR('Controls'!$D$34&lt;&gt;"Inputs entered",'Controls'!$D$98&lt;&gt;"Inputs entered",'Financing'!$I$18&lt;&gt;"Inputs entered"),"",SUM(I17,I19))</x:f>
        <x:v>0.4319999999999999</x:v>
      </x:c>
      <x:c r="J20" s="2"/>
      <x:c r="K20" s="2"/>
      <x:c r="L20" s="2"/>
      <x:c r="M20" s="2"/>
    </x:row>
    <x:row r="21" ht="25" customHeight="1">
      <x:c r="A21" s="2"/>
      <x:c r="B21" s="2"/>
      <x:c r="C21" s="2" t="str">
        <x:v>Cumulative new-debt service factor</x:v>
      </x:c>
      <x:c r="D21" s="6"/>
      <x:c r="E21" s="39" t="n">
        <x:f>IF(OR('Controls'!$D$34&lt;&gt;"Inputs entered",'Controls'!$D$98&lt;&gt;"Inputs entered",'Financing'!$I$18&lt;&gt;"Inputs entered"),"",E20)</x:f>
        <x:v>0.22999999999999998</x:v>
      </x:c>
      <x:c r="F21" s="39" t="n">
        <x:f>IF(OR('Controls'!$D$34&lt;&gt;"Inputs entered",'Controls'!$D$98&lt;&gt;"Inputs entered",'Financing'!$I$18&lt;&gt;"Inputs entered"),"",E21+F20)</x:f>
        <x:v>0.44799999999999995</x:v>
      </x:c>
      <x:c r="G21" s="39" t="n">
        <x:f>IF(OR('Controls'!$D$34&lt;&gt;"Inputs entered",'Controls'!$D$98&lt;&gt;"Inputs entered",'Financing'!$I$18&lt;&gt;"Inputs entered"),"",F21+G20)</x:f>
        <x:v>0.6539999999999999</x:v>
      </x:c>
      <x:c r="H21" s="39" t="n">
        <x:f>IF(OR('Controls'!$D$34&lt;&gt;"Inputs entered",'Controls'!$D$98&lt;&gt;"Inputs entered",'Financing'!$I$18&lt;&gt;"Inputs entered"),"",G21+H20)</x:f>
        <x:v>0.8479999999999999</x:v>
      </x:c>
      <x:c r="I21" s="39" t="n">
        <x:f>IF(OR('Controls'!$D$34&lt;&gt;"Inputs entered",'Controls'!$D$98&lt;&gt;"Inputs entered",'Financing'!$I$18&lt;&gt;"Inputs entered"),"",H21+I20)</x:f>
        <x:v>1.2799999999999998</x:v>
      </x:c>
      <x:c r="J21" s="2"/>
      <x:c r="K21" s="2"/>
      <x:c r="L21" s="2"/>
      <x:c r="M21" s="2"/>
    </x:row>
    <x:row r="22" ht="25" customHeight="1">
      <x:c r="A22" s="2"/>
      <x:c r="B22" s="2"/>
      <x:c r="C22" s="2"/>
      <x:c r="D22" s="6"/>
      <x:c r="E22" s="6"/>
      <x:c r="F22" s="6"/>
      <x:c r="G22" s="6"/>
      <x:c r="H22" s="6"/>
      <x:c r="I22" s="6"/>
      <x:c r="J22" s="2"/>
      <x:c r="K22" s="2"/>
      <x:c r="L22" s="2"/>
      <x:c r="M22" s="2"/>
    </x:row>
    <x:row r="23" ht="25" customHeight="1">
      <x:c r="A23" s="2"/>
      <x:c r="B23" s="2"/>
      <x:c r="C23" s="2" t="str">
        <x:v>Cash available before new-debt service</x:v>
      </x:c>
      <x:c r="D23" s="6"/>
      <x:c r="E23" s="37" t="n">
        <x:f>IF(OR('Controls'!$D$34&lt;&gt;"Inputs entered",'Controls'!$D$98&lt;&gt;"Inputs entered",'Financing'!$I$18&lt;&gt;"Inputs entered"),"",'Controls'!E72+'Deal cash flow'!E21-SUM(E12,E14))</x:f>
        <x:v>7.35</x:v>
      </x:c>
      <x:c r="F23" s="37" t="n">
        <x:f>IF(OR('Controls'!$D$34&lt;&gt;"Inputs entered",'Controls'!$D$98&lt;&gt;"Inputs entered",'Financing'!$I$18&lt;&gt;"Inputs entered"),"",'Controls'!F72+'Deal cash flow'!F21-SUM(F12,F14))</x:f>
        <x:v>9.5325</x:v>
      </x:c>
      <x:c r="G23" s="37" t="n">
        <x:f>IF(OR('Controls'!$D$34&lt;&gt;"Inputs entered",'Controls'!$D$98&lt;&gt;"Inputs entered",'Financing'!$I$18&lt;&gt;"Inputs entered"),"",'Controls'!G72+'Deal cash flow'!G21-SUM(G12,G14))</x:f>
        <x:v>12.76</x:v>
      </x:c>
      <x:c r="H23" s="37" t="n">
        <x:f>IF(OR('Controls'!$D$34&lt;&gt;"Inputs entered",'Controls'!$D$98&lt;&gt;"Inputs entered",'Financing'!$I$18&lt;&gt;"Inputs entered"),"",'Controls'!H72+'Deal cash flow'!H21-SUM(H12,H14))</x:f>
        <x:v>14.74</x:v>
      </x:c>
      <x:c r="I23" s="37" t="n">
        <x:f>IF(OR('Controls'!$D$34&lt;&gt;"Inputs entered",'Controls'!$D$98&lt;&gt;"Inputs entered",'Financing'!$I$18&lt;&gt;"Inputs entered"),"",'Controls'!I72+'Deal cash flow'!I21-SUM(I12,I14))</x:f>
        <x:v>6.219999999999999</x:v>
      </x:c>
      <x:c r="J23" s="2"/>
      <x:c r="K23" s="2"/>
      <x:c r="L23" s="2"/>
      <x:c r="M23" s="2"/>
    </x:row>
    <x:row r="24" ht="25" customHeight="1">
      <x:c r="A24" s="2"/>
      <x:c r="B24" s="2"/>
      <x:c r="C24" s="2" t="str">
        <x:v>Cumulative cash before new-debt service</x:v>
      </x:c>
      <x:c r="D24" s="6"/>
      <x:c r="E24" s="37" t="n">
        <x:f>IF(OR('Controls'!$D$34&lt;&gt;"Inputs entered",'Controls'!$D$98&lt;&gt;"Inputs entered",'Financing'!$I$18&lt;&gt;"Inputs entered"),"",E23)</x:f>
        <x:v>7.35</x:v>
      </x:c>
      <x:c r="F24" s="37" t="n">
        <x:f>IF(OR('Controls'!$D$34&lt;&gt;"Inputs entered",'Controls'!$D$98&lt;&gt;"Inputs entered",'Financing'!$I$18&lt;&gt;"Inputs entered"),"",E24+F23)</x:f>
        <x:v>16.8825</x:v>
      </x:c>
      <x:c r="G24" s="37" t="n">
        <x:f>IF(OR('Controls'!$D$34&lt;&gt;"Inputs entered",'Controls'!$D$98&lt;&gt;"Inputs entered",'Financing'!$I$18&lt;&gt;"Inputs entered"),"",F24+G23)</x:f>
        <x:v>29.6425</x:v>
      </x:c>
      <x:c r="H24" s="37" t="n">
        <x:f>IF(OR('Controls'!$D$34&lt;&gt;"Inputs entered",'Controls'!$D$98&lt;&gt;"Inputs entered",'Financing'!$I$18&lt;&gt;"Inputs entered"),"",G24+H23)</x:f>
        <x:v>44.3825</x:v>
      </x:c>
      <x:c r="I24" s="37" t="n">
        <x:f>IF(OR('Controls'!$D$34&lt;&gt;"Inputs entered",'Controls'!$D$98&lt;&gt;"Inputs entered",'Financing'!$I$18&lt;&gt;"Inputs entered"),"",H24+I23)</x:f>
        <x:v>50.6025</x:v>
      </x:c>
      <x:c r="J24" s="2"/>
      <x:c r="K24" s="2"/>
      <x:c r="L24" s="2"/>
      <x:c r="M24" s="2"/>
    </x:row>
    <x:row r="25" ht="25" customHeight="1">
      <x:c r="A25" s="2"/>
      <x:c r="B25" s="2"/>
      <x:c r="C25" s="2"/>
      <x:c r="D25" s="6"/>
      <x:c r="E25" s="6"/>
      <x:c r="F25" s="6"/>
      <x:c r="G25" s="6"/>
      <x:c r="H25" s="6"/>
      <x:c r="I25" s="6"/>
      <x:c r="J25" s="2"/>
      <x:c r="K25" s="2"/>
      <x:c r="L25" s="2"/>
      <x:c r="M25" s="2"/>
    </x:row>
    <x:row r="26" ht="25" customHeight="1">
      <x:c r="A26" s="2"/>
      <x:c r="B26" s="2"/>
      <x:c r="C26" s="2" t="str">
        <x:v>New-debt ceiling from gross leverage</x:v>
      </x:c>
      <x:c r="D26" s="6"/>
      <x:c r="E26" s="37" t="n">
        <x:f>IF(OR('Controls'!$D$34&lt;&gt;"Inputs entered",'Controls'!$D$98&lt;&gt;"Inputs entered",'Financing'!$I$18&lt;&gt;"Inputs entered"),"",IF(E16=0,IF(E11&lt;='Controls'!$D$29*E9,'Financing'!$I$10,-1),('Controls'!$D$29*E9-E11)/E16))</x:f>
        <x:v>39</x:v>
      </x:c>
      <x:c r="F26" s="37" t="n">
        <x:f>IF(OR('Controls'!$D$34&lt;&gt;"Inputs entered",'Controls'!$D$98&lt;&gt;"Inputs entered",'Financing'!$I$18&lt;&gt;"Inputs entered"),"",IF(F16=0,IF(F11&lt;='Controls'!$D$29*F9,'Financing'!$I$10,-1),('Controls'!$D$29*F9-F11)/F16))</x:f>
        <x:v>53.870588235294115</x:v>
      </x:c>
      <x:c r="G26" s="37" t="n">
        <x:f>IF(OR('Controls'!$D$34&lt;&gt;"Inputs entered",'Controls'!$D$98&lt;&gt;"Inputs entered",'Financing'!$I$18&lt;&gt;"Inputs entered"),"",IF(G16=0,IF(G11&lt;='Controls'!$D$29*G9,'Financing'!$I$10,-1),('Controls'!$D$29*G9-G11)/G16))</x:f>
        <x:v>75.37142857142858</x:v>
      </x:c>
      <x:c r="H26" s="37" t="n">
        <x:f>IF(OR('Controls'!$D$34&lt;&gt;"Inputs entered",'Controls'!$D$98&lt;&gt;"Inputs entered",'Financing'!$I$18&lt;&gt;"Inputs entered"),"",IF(H16=0,IF(H11&lt;='Controls'!$D$29*H9,'Financing'!$I$10,-1),('Controls'!$D$29*H9-H11)/H16))</x:f>
        <x:v>106.8</x:v>
      </x:c>
      <x:c r="I26" s="37" t="n">
        <x:f>IF(OR('Controls'!$D$34&lt;&gt;"Inputs entered",'Controls'!$D$98&lt;&gt;"Inputs entered",'Financing'!$I$18&lt;&gt;"Inputs entered"),"",IF(I16=0,IF(I11&lt;='Controls'!$D$29*I9,'Financing'!$I$10,-1),('Controls'!$D$29*I9-I11)/I16))</x:f>
        <x:v>161.80000000000004</x:v>
      </x:c>
      <x:c r="J26" s="2"/>
      <x:c r="K26" s="2"/>
      <x:c r="L26" s="2"/>
      <x:c r="M26" s="2"/>
    </x:row>
    <x:row r="27" ht="25" customHeight="1">
      <x:c r="A27" s="2"/>
      <x:c r="B27" s="2"/>
      <x:c r="C27" s="2" t="str">
        <x:v>New-debt ceiling from interest coverage</x:v>
      </x:c>
      <x:c r="D27" s="6"/>
      <x:c r="E27" s="37" t="n">
        <x:f>IF(OR('Controls'!$D$34&lt;&gt;"Inputs entered",'Controls'!$D$98&lt;&gt;"Inputs entered",'Financing'!$I$18&lt;&gt;"Inputs entered"),"",IF(E19=0,IF(E14&lt;='Controls'!$D$30^(-1)*E9,'Financing'!$I$10,-1),(E9/'Controls'!$D$30-E14)/E19))</x:f>
        <x:v>63.74999999999999</x:v>
      </x:c>
      <x:c r="F27" s="37" t="n">
        <x:f>IF(OR('Controls'!$D$34&lt;&gt;"Inputs entered",'Controls'!$D$98&lt;&gt;"Inputs entered",'Financing'!$I$18&lt;&gt;"Inputs entered"),"",IF(F19=0,IF(F14&lt;='Controls'!$D$30^(-1)*F9,'Financing'!$I$10,-1),(F9/'Controls'!$D$30-F14)/F19))</x:f>
        <x:v>85.34313725490196</x:v>
      </x:c>
      <x:c r="G27" s="37" t="n">
        <x:f>IF(OR('Controls'!$D$34&lt;&gt;"Inputs entered",'Controls'!$D$98&lt;&gt;"Inputs entered",'Financing'!$I$18&lt;&gt;"Inputs entered"),"",IF(G19=0,IF(G14&lt;='Controls'!$D$30^(-1)*G9,'Financing'!$I$10,-1),(G9/'Controls'!$D$30-G14)/G19))</x:f>
        <x:v>116.54761904761907</x:v>
      </x:c>
      <x:c r="H27" s="37" t="n">
        <x:f>IF(OR('Controls'!$D$34&lt;&gt;"Inputs entered",'Controls'!$D$98&lt;&gt;"Inputs entered",'Financing'!$I$18&lt;&gt;"Inputs entered"),"",IF(H19=0,IF(H14&lt;='Controls'!$D$30^(-1)*H9,'Financing'!$I$10,-1),(H9/'Controls'!$D$30-H14)/H19))</x:f>
        <x:v>162.27272727272728</x:v>
      </x:c>
      <x:c r="I27" s="37" t="n">
        <x:f>IF(OR('Controls'!$D$34&lt;&gt;"Inputs entered",'Controls'!$D$98&lt;&gt;"Inputs entered",'Financing'!$I$18&lt;&gt;"Inputs entered"),"",IF(I19=0,IF(I14&lt;='Controls'!$D$30^(-1)*I9,'Financing'!$I$10,-1),(I9/'Controls'!$D$30-I14)/I19))</x:f>
        <x:v>242.29166666666674</x:v>
      </x:c>
      <x:c r="J27" s="2"/>
      <x:c r="K27" s="2"/>
      <x:c r="L27" s="2"/>
      <x:c r="M27" s="2"/>
    </x:row>
    <x:row r="28" ht="25" customHeight="1">
      <x:c r="A28" s="2"/>
      <x:c r="B28" s="2"/>
      <x:c r="C28" s="2" t="str">
        <x:v>EV ceiling from cumulative cash reserve</x:v>
      </x:c>
      <x:c r="D28" s="6"/>
      <x:c r="E28" s="37" t="n">
        <x:f>IF(OR(COUNT(E24,E21,$D$36)&lt;&gt;3,'Financing'!$I$18&lt;&gt;"Inputs entered"),"",$D$36+SUM('Financing'!$I$7,'Financing'!$I$12)-SUM('Controls'!$D$19:$D$20)+E24-E21*'Financing'!$I$7)</x:f>
        <x:v>33.59</x:v>
      </x:c>
      <x:c r="F28" s="37" t="n">
        <x:f>IF(OR(COUNT(F24,F21,$D$36)&lt;&gt;3,'Financing'!$I$18&lt;&gt;"Inputs entered"),"",$D$36+SUM('Financing'!$I$7,'Financing'!$I$12)-SUM('Controls'!$D$19:$D$20)+F24-F21*'Financing'!$I$7)</x:f>
        <x:v>40.5065</x:v>
      </x:c>
      <x:c r="G28" s="37" t="n">
        <x:f>IF(OR(COUNT(G24,G21,$D$36)&lt;&gt;3,'Financing'!$I$18&lt;&gt;"Inputs entered"),"",$D$36+SUM('Financing'!$I$7,'Financing'!$I$12)-SUM('Controls'!$D$19:$D$20)+G24-G21*'Financing'!$I$7)</x:f>
        <x:v>50.7945</x:v>
      </x:c>
      <x:c r="H28" s="37" t="n">
        <x:f>IF(OR(COUNT(H24,H21,$D$36)&lt;&gt;3,'Financing'!$I$18&lt;&gt;"Inputs entered"),"",$D$36+SUM('Financing'!$I$7,'Financing'!$I$12)-SUM('Controls'!$D$19:$D$20)+H24-H21*'Financing'!$I$7)</x:f>
        <x:v>63.20649999999999</x:v>
      </x:c>
      <x:c r="I28" s="37" t="n">
        <x:f>IF(OR(COUNT(I24,I21,$D$36)&lt;&gt;3,'Financing'!$I$18&lt;&gt;"Inputs entered"),"",$D$36+SUM('Financing'!$I$7,'Financing'!$I$12)-SUM('Controls'!$D$19:$D$20)+I24-I21*'Financing'!$I$7)</x:f>
        <x:v>64.24249999999999</x:v>
      </x:c>
      <x:c r="J28" s="2"/>
      <x:c r="K28" s="2"/>
      <x:c r="L28" s="2"/>
      <x:c r="M28" s="2"/>
    </x:row>
    <x:row r="29" ht="25" customHeight="1">
      <x:c r="A29" s="2"/>
      <x:c r="B29" s="2"/>
      <x:c r="C29" s="2" t="str">
        <x:v>New-debt ceiling from ratios</x:v>
      </x:c>
      <x:c r="D29" s="6"/>
      <x:c r="E29" s="14" t="n">
        <x:f>IF(COUNT(E26:E27)&lt;&gt;2,"",MIN(E26:E27))</x:f>
        <x:v>39</x:v>
      </x:c>
      <x:c r="F29" s="14" t="n">
        <x:f>IF(COUNT(F26:F27)&lt;&gt;2,"",MIN(F26:F27))</x:f>
        <x:v>53.870588235294115</x:v>
      </x:c>
      <x:c r="G29" s="14" t="n">
        <x:f>IF(COUNT(G26:G27)&lt;&gt;2,"",MIN(G26:G27))</x:f>
        <x:v>75.37142857142858</x:v>
      </x:c>
      <x:c r="H29" s="14" t="n">
        <x:f>IF(COUNT(H26:H27)&lt;&gt;2,"",MIN(H26:H27))</x:f>
        <x:v>106.8</x:v>
      </x:c>
      <x:c r="I29" s="14" t="n">
        <x:f>IF(COUNT(I26:I27)&lt;&gt;2,"",MIN(I26:I27))</x:f>
        <x:v>161.80000000000004</x:v>
      </x:c>
      <x:c r="J29" s="2"/>
      <x:c r="K29" s="2"/>
      <x:c r="L29" s="2"/>
      <x:c r="M29" s="2"/>
    </x:row>
    <x:row r="30" ht="25" customHeight="1">
      <x:c r="A30" s="2"/>
      <x:c r="B30" s="2"/>
      <x:c r="C30" s="2"/>
      <x:c r="D30" s="6"/>
      <x:c r="E30" s="6"/>
      <x:c r="F30" s="6"/>
      <x:c r="G30" s="6"/>
      <x:c r="H30" s="6"/>
      <x:c r="I30" s="6"/>
      <x:c r="J30" s="2"/>
      <x:c r="K30" s="2"/>
      <x:c r="L30" s="2"/>
      <x:c r="M30" s="2"/>
    </x:row>
    <x:row r="31" ht="25" customHeight="1">
      <x:c r="A31" s="2"/>
      <x:c r="B31" s="2"/>
      <x:c r="C31" s="2" t="str">
        <x:v>EV ceiling at close</x:v>
      </x:c>
      <x:c r="D31" s="37" t="n">
        <x:f>IF(OR(NOT(ISNUMBER(D36)),'Financing'!I18&lt;&gt;"Inputs entered"),"",D36+SUM('Financing'!I7,'Financing'!I12)-SUM('Controls'!D19:D20))</x:f>
        <x:v>29</x:v>
      </x:c>
      <x:c r="E31" s="6"/>
      <x:c r="F31" s="6"/>
      <x:c r="G31" s="6"/>
      <x:c r="H31" s="6"/>
      <x:c r="I31" s="6"/>
      <x:c r="J31" s="2"/>
      <x:c r="K31" s="2"/>
      <x:c r="L31" s="2"/>
      <x:c r="M31" s="2"/>
    </x:row>
    <x:row r="32" ht="25" customHeight="1">
      <x:c r="A32" s="2"/>
      <x:c r="B32" s="2"/>
      <x:c r="C32" s="2"/>
      <x:c r="D32" s="6"/>
      <x:c r="E32" s="6"/>
      <x:c r="F32" s="6"/>
      <x:c r="G32" s="6"/>
      <x:c r="H32" s="6"/>
      <x:c r="I32" s="6"/>
      <x:c r="J32" s="2"/>
      <x:c r="K32" s="2"/>
      <x:c r="L32" s="2"/>
      <x:c r="M32" s="2"/>
    </x:row>
    <x:row r="33" ht="25" customHeight="1">
      <x:c r="A33" s="2"/>
      <x:c r="B33" s="2"/>
      <x:c r="C33" s="2"/>
      <x:c r="D33" s="6"/>
      <x:c r="E33" s="6"/>
      <x:c r="F33" s="6"/>
      <x:c r="G33" s="6"/>
      <x:c r="H33" s="6"/>
      <x:c r="I33" s="6"/>
      <x:c r="J33" s="2"/>
      <x:c r="K33" s="2"/>
      <x:c r="L33" s="2"/>
      <x:c r="M33" s="2"/>
    </x:row>
    <x:row r="34" ht="37" customHeight="1">
      <x:c r="A34" s="2"/>
      <x:c r="B34" s="2"/>
      <x:c r="C34" s="16" t="str">
        <x:v>Modeled new-debt capacity</x:v>
      </x:c>
      <x:c r="D34" s="23" t="n">
        <x:f>IF(OR(COUNT(E29:I29)&lt;&gt;5,MIN(E13:I13)&lt;0),"",MAX(0,MIN(E29:I29)))</x:f>
        <x:v>39</x:v>
      </x:c>
      <x:c r="E34" s="6"/>
      <x:c r="F34" s="6"/>
      <x:c r="G34" s="6"/>
      <x:c r="H34" s="6"/>
      <x:c r="I34" s="6"/>
      <x:c r="J34" s="2"/>
      <x:c r="K34" s="2"/>
      <x:c r="L34" s="2"/>
      <x:c r="M34" s="2"/>
    </x:row>
    <x:row r="35" ht="37" customHeight="1">
      <x:c r="A35" s="2"/>
      <x:c r="B35" s="2"/>
      <x:c r="C35" s="16" t="str">
        <x:v>Committed new-debt capacity</x:v>
      </x:c>
      <x:c r="D35" s="42" t="n">
        <x:f>IF(NOT(ISNUMBER(D34)),"",IF('Financing'!I11="Committed",MIN(D34,'Financing'!I10),0))</x:f>
        <x:v>0</x:v>
      </x:c>
      <x:c r="E35" s="6"/>
      <x:c r="F35" s="6"/>
      <x:c r="G35" s="6"/>
      <x:c r="H35" s="6"/>
      <x:c r="I35" s="6"/>
      <x:c r="J35" s="2"/>
      <x:c r="K35" s="2"/>
      <x:c r="L35" s="2"/>
      <x:c r="M35" s="2"/>
    </x:row>
    <x:row r="36" ht="37" customHeight="1">
      <x:c r="A36" s="2"/>
      <x:c r="B36" s="2"/>
      <x:c r="C36" s="16" t="str">
        <x:v>Buyer cash available at close</x:v>
      </x:c>
      <x:c r="D36" s="42" t="n">
        <x:f>IF('Controls'!D34&lt;&gt;"Inputs entered","",MAX(0,'Controls'!D23-SUM('Controls'!D24:D26)))</x:f>
        <x:v>15</x:v>
      </x:c>
      <x:c r="E36" s="6"/>
      <x:c r="F36" s="6"/>
      <x:c r="G36" s="6"/>
      <x:c r="H36" s="6"/>
      <x:c r="I36" s="6"/>
      <x:c r="J36" s="2"/>
      <x:c r="K36" s="2"/>
      <x:c r="L36" s="2"/>
      <x:c r="M36" s="2"/>
    </x:row>
    <x:row r="37" ht="37" customHeight="1">
      <x:c r="A37" s="2"/>
      <x:c r="B37" s="2"/>
      <x:c r="C37" s="16" t="str">
        <x:v>Affordable EV at selected financing</x:v>
      </x:c>
      <x:c r="D37" s="42" t="str">
        <x:f>IF(OR(COUNT(E28:I28,D31,D35)&lt;&gt;7,D38&lt;&gt;"Capacity calculated",'Financing'!I22&lt;&gt;"Funding confirmed",'Financing'!I7&gt;D35,'Financing'!I19&gt;'Controls'!D31),"",MIN(E28:I28,D31))</x:f>
      </x:c>
      <x:c r="E37" s="6"/>
      <x:c r="F37" s="6"/>
      <x:c r="G37" s="6"/>
      <x:c r="H37" s="6"/>
      <x:c r="I37" s="6"/>
      <x:c r="J37" s="2"/>
      <x:c r="K37" s="2"/>
      <x:c r="L37" s="2"/>
      <x:c r="M37" s="2"/>
    </x:row>
    <x:row r="38" ht="37" customHeight="1">
      <x:c r="A38" s="2"/>
      <x:c r="B38" s="2"/>
      <x:c r="C38" s="16" t="str">
        <x:v>Capacity prerequisites</x:v>
      </x:c>
      <x:c r="D38" s="42" t="str">
        <x:f>IF(OR(COUNT(E29:I29)&lt;&gt;5,MIN(E13:I13)&lt;0),"Invalid debt / inputs",IF(OR(MIN(E29:I29)&lt;0,'Controls'!D23&lt;SUM('Controls'!D24:D26)),"Hold: zero-debt capacity","Capacity calculated"))</x:f>
        <x:v>Capacity calculated</x:v>
      </x:c>
      <x:c r="E38" s="6"/>
      <x:c r="F38" s="6"/>
      <x:c r="G38" s="6"/>
      <x:c r="H38" s="6"/>
      <x:c r="I38" s="6"/>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2"/>
      <x:c r="D40" s="6"/>
      <x:c r="E40" s="6"/>
      <x:c r="F40" s="6"/>
      <x:c r="G40" s="6"/>
      <x:c r="H40" s="6"/>
      <x:c r="I40" s="6"/>
      <x:c r="J40" s="2"/>
      <x:c r="K40" s="2"/>
      <x:c r="L40" s="2"/>
      <x:c r="M40" s="2"/>
    </x:row>
    <x:row r="41" ht="25" customHeight="1">
      <x:c r="A41" s="2"/>
      <x:c r="B41" s="2"/>
      <x:c r="C41" s="2" t="str">
        <x:v>Proposed new debt at start</x:v>
      </x:c>
      <x:c r="D41" s="6"/>
      <x:c r="E41" s="37" t="n">
        <x:f>IF(OR('Controls'!$D$34&lt;&gt;"Inputs entered",'Controls'!$D$98&lt;&gt;"Inputs entered",'Financing'!$I$18&lt;&gt;"Inputs entered"),"",E16*'Financing'!$I$7)</x:f>
        <x:v>12</x:v>
      </x:c>
      <x:c r="F41" s="37" t="n">
        <x:f>IF(OR('Controls'!$D$34&lt;&gt;"Inputs entered",'Controls'!$D$98&lt;&gt;"Inputs entered",'Financing'!$I$18&lt;&gt;"Inputs entered"),"",F16*'Financing'!$I$7)</x:f>
        <x:v>10.2</x:v>
      </x:c>
      <x:c r="G41" s="37" t="n">
        <x:f>IF(OR('Controls'!$D$34&lt;&gt;"Inputs entered",'Controls'!$D$98&lt;&gt;"Inputs entered",'Financing'!$I$18&lt;&gt;"Inputs entered"),"",G16*'Financing'!$I$7)</x:f>
        <x:v>8.399999999999999</x:v>
      </x:c>
      <x:c r="H41" s="37" t="n">
        <x:f>IF(OR('Controls'!$D$34&lt;&gt;"Inputs entered",'Controls'!$D$98&lt;&gt;"Inputs entered",'Financing'!$I$18&lt;&gt;"Inputs entered"),"",H16*'Financing'!$I$7)</x:f>
        <x:v>6.6</x:v>
      </x:c>
      <x:c r="I41" s="37" t="n">
        <x:f>IF(OR('Controls'!$D$34&lt;&gt;"Inputs entered",'Controls'!$D$98&lt;&gt;"Inputs entered",'Financing'!$I$18&lt;&gt;"Inputs entered"),"",I16*'Financing'!$I$7)</x:f>
        <x:v>4.799999999999999</x:v>
      </x:c>
      <x:c r="J41" s="2"/>
      <x:c r="K41" s="2"/>
      <x:c r="L41" s="2"/>
      <x:c r="M41" s="2"/>
    </x:row>
    <x:row r="42" ht="25" customHeight="1">
      <x:c r="A42" s="2"/>
      <x:c r="B42" s="2"/>
      <x:c r="C42" s="2" t="str">
        <x:v>Proposed new debt principal repaid</x:v>
      </x:c>
      <x:c r="D42" s="6"/>
      <x:c r="E42" s="37" t="n">
        <x:f>IF(OR('Controls'!$D$34&lt;&gt;"Inputs entered",'Controls'!$D$98&lt;&gt;"Inputs entered",'Financing'!$I$18&lt;&gt;"Inputs entered"),"",E17*'Financing'!$I$7)</x:f>
        <x:v>1.7999999999999998</x:v>
      </x:c>
      <x:c r="F42" s="37" t="n">
        <x:f>IF(OR('Controls'!$D$34&lt;&gt;"Inputs entered",'Controls'!$D$98&lt;&gt;"Inputs entered",'Financing'!$I$18&lt;&gt;"Inputs entered"),"",F17*'Financing'!$I$7)</x:f>
        <x:v>1.7999999999999998</x:v>
      </x:c>
      <x:c r="G42" s="37" t="n">
        <x:f>IF(OR('Controls'!$D$34&lt;&gt;"Inputs entered",'Controls'!$D$98&lt;&gt;"Inputs entered",'Financing'!$I$18&lt;&gt;"Inputs entered"),"",G17*'Financing'!$I$7)</x:f>
        <x:v>1.7999999999999998</x:v>
      </x:c>
      <x:c r="H42" s="37" t="n">
        <x:f>IF(OR('Controls'!$D$34&lt;&gt;"Inputs entered",'Controls'!$D$98&lt;&gt;"Inputs entered",'Financing'!$I$18&lt;&gt;"Inputs entered"),"",H17*'Financing'!$I$7)</x:f>
        <x:v>1.7999999999999998</x:v>
      </x:c>
      <x:c r="I42" s="37" t="n">
        <x:f>IF(OR('Controls'!$D$34&lt;&gt;"Inputs entered",'Controls'!$D$98&lt;&gt;"Inputs entered",'Financing'!$I$18&lt;&gt;"Inputs entered"),"",I17*'Financing'!$I$7)</x:f>
        <x:v>4.799999999999999</x:v>
      </x:c>
      <x:c r="J42" s="2"/>
      <x:c r="K42" s="2"/>
      <x:c r="L42" s="2"/>
      <x:c r="M42" s="2"/>
    </x:row>
    <x:row r="43" ht="25" customHeight="1">
      <x:c r="A43" s="2"/>
      <x:c r="B43" s="2"/>
      <x:c r="C43" s="2" t="str">
        <x:v>Proposed new debt at end</x:v>
      </x:c>
      <x:c r="D43" s="6"/>
      <x:c r="E43" s="37" t="n">
        <x:f>IF(OR('Controls'!$D$34&lt;&gt;"Inputs entered",'Controls'!$D$98&lt;&gt;"Inputs entered",'Financing'!$I$18&lt;&gt;"Inputs entered"),"",E18*'Financing'!$I$7)</x:f>
        <x:v>10.2</x:v>
      </x:c>
      <x:c r="F43" s="37" t="n">
        <x:f>IF(OR('Controls'!$D$34&lt;&gt;"Inputs entered",'Controls'!$D$98&lt;&gt;"Inputs entered",'Financing'!$I$18&lt;&gt;"Inputs entered"),"",F18*'Financing'!$I$7)</x:f>
        <x:v>8.399999999999999</x:v>
      </x:c>
      <x:c r="G43" s="37" t="n">
        <x:f>IF(OR('Controls'!$D$34&lt;&gt;"Inputs entered",'Controls'!$D$98&lt;&gt;"Inputs entered",'Financing'!$I$18&lt;&gt;"Inputs entered"),"",G18*'Financing'!$I$7)</x:f>
        <x:v>6.6</x:v>
      </x:c>
      <x:c r="H43" s="37" t="n">
        <x:f>IF(OR('Controls'!$D$34&lt;&gt;"Inputs entered",'Controls'!$D$98&lt;&gt;"Inputs entered",'Financing'!$I$18&lt;&gt;"Inputs entered"),"",H18*'Financing'!$I$7)</x:f>
        <x:v>4.799999999999999</x:v>
      </x:c>
      <x:c r="I43" s="37" t="n">
        <x:f>IF(OR('Controls'!$D$34&lt;&gt;"Inputs entered",'Controls'!$D$98&lt;&gt;"Inputs entered",'Financing'!$I$18&lt;&gt;"Inputs entered"),"",I18*'Financing'!$I$7)</x:f>
        <x:v>0</x:v>
      </x:c>
      <x:c r="J43" s="2"/>
      <x:c r="K43" s="2"/>
      <x:c r="L43" s="2"/>
      <x:c r="M43" s="2"/>
    </x:row>
    <x:row r="44" ht="25" customHeight="1">
      <x:c r="A44" s="2"/>
      <x:c r="B44" s="2"/>
      <x:c r="C44" s="2" t="str">
        <x:v>Proposed new debt cash interest</x:v>
      </x:c>
      <x:c r="D44" s="6"/>
      <x:c r="E44" s="37" t="n">
        <x:f>IF(OR('Controls'!$D$34&lt;&gt;"Inputs entered",'Controls'!$D$98&lt;&gt;"Inputs entered",'Financing'!$I$18&lt;&gt;"Inputs entered"),"",E19*'Financing'!$I$7)</x:f>
        <x:v>0.96</x:v>
      </x:c>
      <x:c r="F44" s="37" t="n">
        <x:f>IF(OR('Controls'!$D$34&lt;&gt;"Inputs entered",'Controls'!$D$98&lt;&gt;"Inputs entered",'Financing'!$I$18&lt;&gt;"Inputs entered"),"",F19*'Financing'!$I$7)</x:f>
        <x:v>0.8160000000000001</x:v>
      </x:c>
      <x:c r="G44" s="37" t="n">
        <x:f>IF(OR('Controls'!$D$34&lt;&gt;"Inputs entered",'Controls'!$D$98&lt;&gt;"Inputs entered",'Financing'!$I$18&lt;&gt;"Inputs entered"),"",G19*'Financing'!$I$7)</x:f>
        <x:v>0.6719999999999999</x:v>
      </x:c>
      <x:c r="H44" s="37" t="n">
        <x:f>IF(OR('Controls'!$D$34&lt;&gt;"Inputs entered",'Controls'!$D$98&lt;&gt;"Inputs entered",'Financing'!$I$18&lt;&gt;"Inputs entered"),"",H19*'Financing'!$I$7)</x:f>
        <x:v>0.528</x:v>
      </x:c>
      <x:c r="I44" s="37" t="n">
        <x:f>IF(OR('Controls'!$D$34&lt;&gt;"Inputs entered",'Controls'!$D$98&lt;&gt;"Inputs entered",'Financing'!$I$18&lt;&gt;"Inputs entered"),"",I19*'Financing'!$I$7)</x:f>
        <x:v>0.3839999999999999</x:v>
      </x:c>
      <x:c r="J44" s="2"/>
      <x:c r="K44" s="2"/>
      <x:c r="L44" s="2"/>
      <x:c r="M44" s="2"/>
    </x:row>
    <x:row r="45" ht="25" customHeight="1">
      <x:c r="A45" s="2"/>
      <x:c r="B45" s="2"/>
      <x:c r="C45" s="2" t="str">
        <x:v>Unrestricted cash balance</x:v>
      </x:c>
      <x:c r="D45" s="37" t="n">
        <x:f>IF(OR('Controls'!D34&lt;&gt;"Inputs entered",'Financing'!I18&lt;&gt;"Inputs entered"),"",'Controls'!D23-'Controls'!D24-'Controls'!D26-'Financing'!I20)</x:f>
        <x:v>-1</x:v>
      </x:c>
      <x:c r="E45" s="37" t="n">
        <x:f>IF(OR('Controls'!$D$34&lt;&gt;"Inputs entered",'Controls'!$D$98&lt;&gt;"Inputs entered",'Financing'!$I$18&lt;&gt;"Inputs entered"),"",D45+E23-SUM(E42,E44))</x:f>
        <x:v>3.59</x:v>
      </x:c>
      <x:c r="F45" s="37" t="n">
        <x:f>IF(OR('Controls'!$D$34&lt;&gt;"Inputs entered",'Controls'!$D$98&lt;&gt;"Inputs entered",'Financing'!$I$18&lt;&gt;"Inputs entered"),"",E45+F23-SUM(F42,F44))</x:f>
        <x:v>10.5065</x:v>
      </x:c>
      <x:c r="G45" s="37" t="n">
        <x:f>IF(OR('Controls'!$D$34&lt;&gt;"Inputs entered",'Controls'!$D$98&lt;&gt;"Inputs entered",'Financing'!$I$18&lt;&gt;"Inputs entered"),"",F45+G23-SUM(G42,G44))</x:f>
        <x:v>20.7945</x:v>
      </x:c>
      <x:c r="H45" s="37" t="n">
        <x:f>IF(OR('Controls'!$D$34&lt;&gt;"Inputs entered",'Controls'!$D$98&lt;&gt;"Inputs entered",'Financing'!$I$18&lt;&gt;"Inputs entered"),"",G45+H23-SUM(H42,H44))</x:f>
        <x:v>33.2065</x:v>
      </x:c>
      <x:c r="I45" s="37" t="n">
        <x:f>IF(OR('Controls'!$D$34&lt;&gt;"Inputs entered",'Controls'!$D$98&lt;&gt;"Inputs entered",'Financing'!$I$18&lt;&gt;"Inputs entered"),"",H45+I23-SUM(I42,I44))</x:f>
        <x:v>34.2425</x:v>
      </x:c>
      <x:c r="J45" s="2"/>
      <x:c r="K45" s="2"/>
      <x:c r="L45" s="2"/>
      <x:c r="M45" s="2"/>
    </x:row>
    <x:row r="46" ht="25" customHeight="1">
      <x:c r="A46" s="2"/>
      <x:c r="B46" s="2"/>
      <x:c r="C46" s="2" t="str">
        <x:v>Cash reserve headroom</x:v>
      </x:c>
      <x:c r="D46" s="37" t="n">
        <x:f>IF(NOT(ISNUMBER(D45)),"",D45-'Controls'!D25)</x:f>
        <x:v>-6</x:v>
      </x:c>
      <x:c r="E46" s="37" t="n">
        <x:f>IF(OR('Controls'!$D$34&lt;&gt;"Inputs entered",'Controls'!$D$98&lt;&gt;"Inputs entered",'Financing'!$I$18&lt;&gt;"Inputs entered"),"",E45-'Controls'!$D$25)</x:f>
        <x:v>-1.4100000000000001</x:v>
      </x:c>
      <x:c r="F46" s="37" t="n">
        <x:f>IF(OR('Controls'!$D$34&lt;&gt;"Inputs entered",'Controls'!$D$98&lt;&gt;"Inputs entered",'Financing'!$I$18&lt;&gt;"Inputs entered"),"",F45-'Controls'!$D$25)</x:f>
        <x:v>5.506500000000001</x:v>
      </x:c>
      <x:c r="G46" s="37" t="n">
        <x:f>IF(OR('Controls'!$D$34&lt;&gt;"Inputs entered",'Controls'!$D$98&lt;&gt;"Inputs entered",'Financing'!$I$18&lt;&gt;"Inputs entered"),"",G45-'Controls'!$D$25)</x:f>
        <x:v>15.7945</x:v>
      </x:c>
      <x:c r="H46" s="37" t="n">
        <x:f>IF(OR('Controls'!$D$34&lt;&gt;"Inputs entered",'Controls'!$D$98&lt;&gt;"Inputs entered",'Financing'!$I$18&lt;&gt;"Inputs entered"),"",H45-'Controls'!$D$25)</x:f>
        <x:v>28.2065</x:v>
      </x:c>
      <x:c r="I46" s="37" t="n">
        <x:f>IF(OR('Controls'!$D$34&lt;&gt;"Inputs entered",'Controls'!$D$98&lt;&gt;"Inputs entered",'Financing'!$I$18&lt;&gt;"Inputs entered"),"",I45-'Controls'!$D$25)</x:f>
        <x:v>29.2425</x:v>
      </x:c>
      <x:c r="J46" s="2"/>
      <x:c r="K46" s="2"/>
      <x:c r="L46" s="2"/>
      <x:c r="M46" s="2"/>
    </x:row>
    <x:row r="47" ht="25" customHeight="1">
      <x:c r="A47" s="2"/>
      <x:c r="B47" s="2"/>
      <x:c r="C47" s="2" t="str">
        <x:v>Opening gross debt / annual EBITDA</x:v>
      </x:c>
      <x:c r="D47" s="6"/>
      <x:c r="E47" s="45" t="n">
        <x:f>IF(OR('Controls'!$D$34&lt;&gt;"Inputs entered",'Controls'!$D$98&lt;&gt;"Inputs entered",'Financing'!$I$18&lt;&gt;"Inputs entered"),"",IF(E9&lt;=0,"n.a.",SUM(E11,E41)/E9))</x:f>
        <x:v>1.5</x:v>
      </x:c>
      <x:c r="F47" s="45" t="n">
        <x:f>IF(OR('Controls'!$D$34&lt;&gt;"Inputs entered",'Controls'!$D$98&lt;&gt;"Inputs entered",'Financing'!$I$18&lt;&gt;"Inputs entered"),"",IF(F9&lt;=0,"n.a.",SUM(F11,F41)/F9))</x:f>
        <x:v>1.2142498745609633</x:v>
      </x:c>
      <x:c r="G47" s="45" t="n">
        <x:f>IF(OR('Controls'!$D$34&lt;&gt;"Inputs entered",'Controls'!$D$98&lt;&gt;"Inputs entered",'Financing'!$I$18&lt;&gt;"Inputs entered"),"",IF(G9&lt;=0,"n.a.",SUM(G11,G41)/G9))</x:f>
        <x:v>0.9762773722627736</x:v>
      </x:c>
      <x:c r="H47" s="45" t="n">
        <x:f>IF(OR('Controls'!$D$34&lt;&gt;"Inputs entered",'Controls'!$D$98&lt;&gt;"Inputs entered",'Financing'!$I$18&lt;&gt;"Inputs entered"),"",IF(H9&lt;=0,"n.a.",SUM(H11,H41)/H9))</x:f>
        <x:v>0.7888040712468195</x:v>
      </x:c>
      <x:c r="I47" s="45" t="n">
        <x:f>IF(OR('Controls'!$D$34&lt;&gt;"Inputs entered",'Controls'!$D$98&lt;&gt;"Inputs entered",'Financing'!$I$18&lt;&gt;"Inputs entered"),"",IF(I9&lt;=0,"n.a.",SUM(I11,I41)/I9))</x:f>
        <x:v>0.6259904912836766</x:v>
      </x:c>
      <x:c r="J47" s="2"/>
      <x:c r="K47" s="2"/>
      <x:c r="L47" s="2"/>
      <x:c r="M47" s="2"/>
    </x:row>
    <x:row r="48" ht="25" customHeight="1">
      <x:c r="A48" s="2"/>
      <x:c r="B48" s="2"/>
      <x:c r="C48" s="2" t="str">
        <x:v>Annual EBITDA / cash interest</x:v>
      </x:c>
      <x:c r="D48" s="6"/>
      <x:c r="E48" s="45" t="n">
        <x:f>IF(OR('Controls'!$D$34&lt;&gt;"Inputs entered",'Controls'!$D$98&lt;&gt;"Inputs entered",'Financing'!$I$18&lt;&gt;"Inputs entered"),"",IF(SUM(E14,E44)=0,"n.a.",E9/SUM(E14,E44)))</x:f>
        <x:v>9.67741935483871</x:v>
      </x:c>
      <x:c r="F48" s="45" t="n">
        <x:f>IF(OR('Controls'!$D$34&lt;&gt;"Inputs entered",'Controls'!$D$98&lt;&gt;"Inputs entered",'Financing'!$I$18&lt;&gt;"Inputs entered"),"",IF(SUM(F14,F44)=0,"n.a.",F9/SUM(F14,F44)))</x:f>
        <x:v>12.03502415458937</x:v>
      </x:c>
      <x:c r="G48" s="45" t="n">
        <x:f>IF(OR('Controls'!$D$34&lt;&gt;"Inputs entered",'Controls'!$D$98&lt;&gt;"Inputs entered",'Financing'!$I$18&lt;&gt;"Inputs entered"),"",IF(SUM(G14,G44)=0,"n.a.",G9/SUM(G14,G44)))</x:f>
        <x:v>15.096418732782372</x:v>
      </x:c>
      <x:c r="H48" s="45" t="n">
        <x:f>IF(OR('Controls'!$D$34&lt;&gt;"Inputs entered",'Controls'!$D$98&lt;&gt;"Inputs entered",'Financing'!$I$18&lt;&gt;"Inputs entered"),"",IF(SUM(H14,H44)=0,"n.a.",H9/SUM(H14,H44)))</x:f>
        <x:v>18.894230769230766</x:v>
      </x:c>
      <x:c r="I48" s="45" t="n">
        <x:f>IF(OR('Controls'!$D$34&lt;&gt;"Inputs entered",'Controls'!$D$98&lt;&gt;"Inputs entered",'Financing'!$I$18&lt;&gt;"Inputs entered"),"",IF(SUM(I14,I44)=0,"n.a.",I9/SUM(I14,I44)))</x:f>
        <x:v>24.176245210727977</x:v>
      </x:c>
      <x:c r="J48" s="2"/>
      <x:c r="K48" s="2"/>
      <x:c r="L48" s="2"/>
      <x:c r="M48" s="2"/>
    </x:row>
    <x:row r="49" ht="25" customHeight="1">
      <x:c r="A49" s="2"/>
      <x:c r="B49" s="2"/>
      <x:c r="C49" s="2"/>
      <x:c r="D49" s="6"/>
      <x:c r="E49" s="6"/>
      <x:c r="F49" s="6"/>
      <x:c r="G49" s="6"/>
      <x:c r="H49" s="6"/>
      <x:c r="I49" s="6"/>
      <x:c r="J49" s="2"/>
      <x:c r="K49" s="2"/>
      <x:c r="L49" s="2"/>
      <x:c r="M49" s="2"/>
    </x:row>
    <x:row r="50" ht="37" customHeight="1">
      <x:c r="A50" s="2"/>
      <x:c r="B50" s="2"/>
      <x:c r="C50" s="16" t="str">
        <x:v>Proposed funding and liquidity</x:v>
      </x:c>
      <x:c r="D50" s="42" t="str">
        <x:f>IF(OR(D38&lt;&gt;"Capacity calculated",'Financing'!I18&lt;&gt;"Inputs entered"),"Open capacity inputs",IF(OR('Financing'!I20&lt;0,'Financing'!I20&gt;D36,'Financing'!I7&gt;D35,'Financing'!I19&gt;'Controls'!D31,MIN(D46:I46)&lt;-0.000001),"Breach: proposed funding",IF('Financing'!I22&lt;&gt;"Funding confirmed","Open funding commitments","Proposed funding fits")))</x:f>
        <x:v>Breach: proposed funding</x:v>
      </x:c>
      <x:c r="E50" s="6"/>
      <x:c r="F50" s="6"/>
      <x:c r="G50" s="6"/>
      <x:c r="H50" s="6"/>
      <x:c r="I50" s="6"/>
      <x:c r="J50" s="2"/>
      <x:c r="K50" s="2"/>
      <x:c r="L50" s="2"/>
      <x:c r="M50" s="2"/>
    </x:row>
    <x:row r="51" ht="37" customHeight="1">
      <x:c r="A51" s="2"/>
      <x:c r="B51" s="2"/>
      <x:c r="C51" s="16"/>
      <x:c r="D51" s="41"/>
      <x:c r="E51" s="6"/>
      <x:c r="F51" s="6"/>
      <x:c r="G51" s="6"/>
      <x:c r="H51" s="6"/>
      <x:c r="I51" s="6"/>
      <x:c r="J51" s="2"/>
      <x:c r="K51" s="2"/>
      <x:c r="L51" s="2"/>
      <x:c r="M51" s="2"/>
    </x:row>
    <x:row r="52" ht="37" customHeight="1">
      <x:c r="A52" s="2"/>
      <x:c r="B52" s="2"/>
      <x:c r="C52" s="16" t="str">
        <x:v>Standalone return-supported EV</x:v>
      </x:c>
      <x:c r="D52" s="42" t="n">
        <x:f>IF(NOT(ISNUMBER('Deal cash flow'!D36)),"",'Deal cash flow'!D36-SUM('Controls'!D19:D20))</x:f>
        <x:v>35.511775708659414</x:v>
      </x:c>
      <x:c r="E52" s="6"/>
      <x:c r="F52" s="6"/>
      <x:c r="G52" s="6"/>
      <x:c r="H52" s="6"/>
      <x:c r="I52" s="6"/>
      <x:c r="J52" s="2"/>
      <x:c r="K52" s="2"/>
      <x:c r="L52" s="2"/>
      <x:c r="M52" s="2"/>
    </x:row>
    <x:row r="53" ht="37" customHeight="1">
      <x:c r="A53" s="2"/>
      <x:c r="B53" s="2"/>
      <x:c r="C53" s="16" t="str">
        <x:v>Allowed buyer synergy premium</x:v>
      </x:c>
      <x:c r="D53" s="42" t="n">
        <x:f>IF(COUNT('Deal cash flow'!E25:I26)&lt;&gt;10,"",SUM('Deal cash flow'!E25:I25)+SUM('Deal cash flow'!E26:I26)*'Controls'!D21)</x:f>
        <x:v>2.1575302932115337</x:v>
      </x:c>
      <x:c r="E53" s="6"/>
      <x:c r="F53" s="6"/>
      <x:c r="G53" s="6"/>
      <x:c r="H53" s="6"/>
      <x:c r="I53" s="6"/>
      <x:c r="J53" s="2"/>
      <x:c r="K53" s="2"/>
      <x:c r="L53" s="2"/>
      <x:c r="M53" s="2"/>
    </x:row>
    <x:row r="54" ht="37" customHeight="1">
      <x:c r="A54" s="2"/>
      <x:c r="B54" s="2"/>
      <x:c r="C54" s="16" t="str">
        <x:v>Return-supported EV before opportunity cost</x:v>
      </x:c>
      <x:c r="D54" s="23" t="n">
        <x:f>IF(COUNT(D52:D53)&lt;&gt;2,"",SUM(D52:D53))</x:f>
        <x:v>37.66930600187095</x:v>
      </x:c>
      <x:c r="E54" s="6"/>
      <x:c r="F54" s="6"/>
      <x:c r="G54" s="6"/>
      <x:c r="H54" s="6"/>
      <x:c r="I54" s="6"/>
      <x:c r="J54" s="2"/>
      <x:c r="K54" s="2"/>
      <x:c r="L54" s="2"/>
      <x:c r="M54" s="2"/>
    </x:row>
    <x:row r="55" ht="37" customHeight="1">
      <x:c r="A55" s="2"/>
      <x:c r="B55" s="2"/>
      <x:c r="C55" s="16" t="str">
        <x:v>Comparable alternative opportunity cost</x:v>
      </x:c>
      <x:c r="D55" s="42" t="str">
        <x:f>IF(NOT(ISNUMBER('Alternatives'!D29)),"",'Alternatives'!D29)</x:f>
      </x:c>
      <x:c r="E55" s="6"/>
      <x:c r="F55" s="6"/>
      <x:c r="G55" s="6"/>
      <x:c r="H55" s="6"/>
      <x:c r="I55" s="6"/>
      <x:c r="J55" s="2"/>
      <x:c r="K55" s="2"/>
      <x:c r="L55" s="2"/>
      <x:c r="M55" s="2"/>
    </x:row>
    <x:row r="56" ht="37" customHeight="1">
      <x:c r="A56" s="2"/>
      <x:c r="B56" s="2"/>
      <x:c r="C56" s="16" t="str">
        <x:v>Opportunity-adjusted return-supported EV</x:v>
      </x:c>
      <x:c r="D56" s="23" t="str">
        <x:f>IF(COUNT(D54:D55)&lt;&gt;2,"",D54-D55)</x:f>
      </x:c>
      <x:c r="E56" s="6"/>
      <x:c r="F56" s="6"/>
      <x:c r="G56" s="6"/>
      <x:c r="H56" s="6"/>
      <x:c r="I56" s="6"/>
      <x:c r="J56" s="2"/>
      <x:c r="K56" s="2"/>
      <x:c r="L56" s="2"/>
      <x:c r="M56" s="2"/>
    </x:row>
    <x:row r="57" ht="37" customHeight="1">
      <x:c r="A57" s="2"/>
      <x:c r="B57" s="2"/>
      <x:c r="C57" s="16" t="str">
        <x:v>Active-case enterprise value ceiling</x:v>
      </x:c>
      <x:c r="D57" s="42" t="str">
        <x:f>IF(OR(COUNT(D37,D56)&lt;&gt;2,D38&lt;&gt;"Capacity calculated",'Financing'!I19&gt;'Controls'!D31),"",MIN(D37,D56,'Controls'!D22))</x:f>
      </x:c>
      <x:c r="E57" s="6"/>
      <x:c r="F57" s="6"/>
      <x:c r="G57" s="6"/>
      <x:c r="H57" s="6"/>
      <x:c r="I57" s="6"/>
      <x:c r="J57" s="2"/>
      <x:c r="K57" s="2"/>
      <x:c r="L57" s="2"/>
      <x:c r="M57" s="2"/>
    </x:row>
    <x:row r="58" ht="37" customHeight="1">
      <x:c r="A58" s="2"/>
      <x:c r="B58" s="2"/>
      <x:c r="C58" s="16" t="str">
        <x:v>Hard walk-away enterprise value</x:v>
      </x:c>
      <x:c r="D58" s="42" t="str">
        <x:f>IF('Controls'!D9&lt;&gt;"Downside","Select Downside",IF(OR(NOT(ISNUMBER(D57)),'Controls'!D11="",'Controls'!D12&lt;&gt;"Verified",'Controls'!D13="",'Controls'!D32="",'Controls'!D15&lt;&gt;"Confirmed",'Financing'!I22&lt;&gt;"Funding confirmed",'Alternatives'!G15&lt;&gt;"Feasibility confirmed"),"Open evidence / inputs",IF(D57&lt;=0,"No positive price",D57)))</x:f>
        <x:v>Select Downside</x:v>
      </x:c>
      <x:c r="E58" s="6"/>
      <x:c r="F58" s="6"/>
      <x:c r="G58" s="6"/>
      <x:c r="H58" s="6"/>
      <x:c r="I58" s="6"/>
      <x:c r="J58" s="2"/>
      <x:c r="K58" s="2"/>
      <x:c r="L58" s="2"/>
      <x:c r="M58" s="2"/>
    </x:row>
    <x:row r="59" ht="37" customHeight="1">
      <x:c r="A59" s="2"/>
      <x:c r="B59" s="2"/>
      <x:c r="C59" s="16" t="str">
        <x:v>Proposed price versus hard walk-away</x:v>
      </x:c>
      <x:c r="D59" s="42" t="str">
        <x:f>IF(NOT(ISNUMBER(D58)),"Open hard walk-away",IF('Controls'!D18&gt;D58,"Hold: above walk-away",IF(D50&lt;&gt;"Proposed funding fits",D50,"Within reviewed limits")))</x:f>
        <x:v>Open hard walk-away</x:v>
      </x:c>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7" t="str">
        <x:v>Capacity tests opening gross debt against each year’s EBITDA and cumulative cash against each year-end reserve.</x:v>
      </x:c>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7" t="str">
        <x:v>Affordable EV is the lowest close / annual cash-reserve bound at the selected committed debt and equity amounts.</x:v>
      </x:c>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7" t="str">
        <x:v>Residual buyer cash carries forward. Changing the financing mix changes the bound; maximum debt need not maximize price.</x:v>
      </x:c>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7" t="str">
        <x:v>Annual tests do not detect intra-year cash troughs. Confirm actual covenant definitions, borrowing conditions and monthly liquidity.</x:v>
      </x:c>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conditionalFormatting sqref="D34:D59">
    <x:cfRule type="containsText" dxfId="21" priority="1" operator="containsText" text="Open"/>
    <x:cfRule type="containsText" dxfId="22" priority="2" operator="containsText" text="Invalid"/>
    <x:cfRule type="containsText" dxfId="23" priority="3" operator="containsText" text="Missing"/>
    <x:cfRule type="containsText" dxfId="24" priority="4" operator="containsText" text="Hold"/>
    <x:cfRule type="containsText" dxfId="25" priority="5" operator="containsText" text="Select Downside"/>
    <x:cfRule type="containsText" dxfId="26" priority="6" operator="containsText" text="No positive"/>
    <x:cfRule type="containsText" dxfId="27" priority="7" operator="containsText" text="Breach"/>
  </x:conditionalFormatting>
  <x:conditionalFormatting sqref="D46:I46">
    <x:cfRule type="cellIs" dxfId="28" priority="8" operator="lessThan">
      <x:formula>-0.000001</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19" hidden="0" customWidth="1"/>
    <x:col min="4" max="4" width="18" hidden="0" customWidth="1"/>
    <x:col min="5" max="5" width="16" hidden="0" customWidth="1"/>
    <x:col min="6" max="6" width="16" hidden="0" customWidth="1"/>
    <x:col min="7" max="7" width="16" hidden="0" customWidth="1"/>
    <x:col min="8" max="8" width="16" hidden="0" customWidth="1"/>
    <x:col min="9" max="9" width="16" hidden="0" customWidth="1"/>
    <x:col min="10" max="10" width="19" hidden="0" customWidth="1"/>
    <x:col min="11" max="11" width="18" hidden="0" customWidth="1"/>
    <x:col min="12" max="12" width="25" hidden="0" customWidth="1"/>
    <x:col min="13" max="13" width="45" hidden="0" customWidth="1"/>
  </x:cols>
  <x:sheetData>
    <x:row r="1" ht="25" customHeight="1">
      <x:c r="A1" s="2"/>
      <x:c r="B1" s="2"/>
      <x:c r="C1" s="2"/>
      <x:c r="D1" s="2"/>
      <x:c r="E1" s="2"/>
      <x:c r="F1" s="2"/>
      <x:c r="G1" s="2"/>
      <x:c r="H1" s="2"/>
      <x:c r="I1" s="2"/>
      <x:c r="J1" s="2"/>
      <x:c r="K1" s="2"/>
      <x:c r="L1" s="2"/>
      <x:c r="M1" s="2"/>
    </x:row>
    <x:row r="2" ht="25" customHeight="1">
      <x:c r="A2" s="2"/>
      <x:c r="B2" s="2"/>
      <x:c r="C2" s="3" t="str">
        <x:v>Alternatives</x:v>
      </x:c>
      <x:c r="D2" s="2"/>
      <x:c r="E2" s="2"/>
      <x:c r="F2" s="2"/>
      <x:c r="G2" s="2"/>
      <x:c r="H2" s="2"/>
      <x:c r="I2" s="2"/>
      <x:c r="J2" s="2"/>
      <x:c r="K2" s="2"/>
      <x:c r="L2" s="2"/>
      <x:c r="M2" s="2"/>
    </x:row>
    <x:row r="3" ht="25" customHeight="1">
      <x:c r="A3" s="2"/>
      <x:c r="B3" s="2"/>
      <x:c r="C3" s="2"/>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Choice</x:v>
      </x:c>
      <x:c r="D6" s="31" t="str">
        <x:v>Initial cost</x:v>
      </x:c>
      <x:c r="E6" s="31" t="str">
        <x:v>Year 1</x:v>
      </x:c>
      <x:c r="F6" s="31" t="str">
        <x:v>Year 2</x:v>
      </x:c>
      <x:c r="G6" s="31" t="str">
        <x:v>Year 3</x:v>
      </x:c>
      <x:c r="H6" s="31" t="str">
        <x:v>Year 4</x:v>
      </x:c>
      <x:c r="I6" s="31" t="str">
        <x:v>Year 5</x:v>
      </x:c>
      <x:c r="J6" s="30" t="str">
        <x:v>Terminal value</x:v>
      </x:c>
      <x:c r="K6" s="30" t="str">
        <x:v>Feasible?</x:v>
      </x:c>
      <x:c r="L6" s="30" t="str">
        <x:v>Owner</x:v>
      </x:c>
      <x:c r="M6" s="30" t="str">
        <x:v>Evidence / basis</x:v>
      </x:c>
    </x:row>
    <x:row r="7" ht="48" customHeight="1">
      <x:c r="A7" s="2"/>
      <x:c r="B7" s="2"/>
      <x:c r="C7" s="2" t="str">
        <x:v>Buy</x:v>
      </x:c>
      <x:c r="D7" s="37" t="n">
        <x:f>IF('Controls'!D34&lt;&gt;"Inputs entered","",SUM('Controls'!D18:D20))</x:f>
        <x:v>38</x:v>
      </x:c>
      <x:c r="E7" s="37" t="n">
        <x:f>IF(NOT(ISNUMBER('Deal cash flow'!E21)),"",'Deal cash flow'!E21)</x:f>
        <x:v>2.25</x:v>
      </x:c>
      <x:c r="F7" s="37" t="n">
        <x:f>IF(NOT(ISNUMBER('Deal cash flow'!F21)),"",'Deal cash flow'!F21)</x:f>
        <x:v>3.3725</x:v>
      </x:c>
      <x:c r="G7" s="37" t="n">
        <x:f>IF(NOT(ISNUMBER('Deal cash flow'!G21)),"",'Deal cash flow'!G21)</x:f>
        <x:v>5.54</x:v>
      </x:c>
      <x:c r="H7" s="37" t="n">
        <x:f>IF(NOT(ISNUMBER('Deal cash flow'!H21)),"",'Deal cash flow'!H21)</x:f>
        <x:v>6.46</x:v>
      </x:c>
      <x:c r="I7" s="37" t="n">
        <x:f>IF(NOT(ISNUMBER('Deal cash flow'!I21)),"",'Deal cash flow'!I21)</x:f>
        <x:v>6.879999999999999</x:v>
      </x:c>
      <x:c r="J7" s="37" t="n">
        <x:f>IF(NOT(ISNUMBER('Deal cash flow'!I27)),"",'Deal cash flow'!I27)</x:f>
        <x:v>55.44</x:v>
      </x:c>
      <x:c r="K7" s="48" t="str">
        <x:v>Pending</x:v>
      </x:c>
      <x:c r="L7" s="48"/>
      <x:c r="M7" s="48" t="str">
        <x:v>Assumption: confirm deliverability and timing</x:v>
      </x:c>
    </x:row>
    <x:row r="8" ht="48" customHeight="1">
      <x:c r="A8" s="2"/>
      <x:c r="B8" s="2"/>
      <x:c r="C8" s="2" t="str">
        <x:v>Build</x:v>
      </x:c>
      <x:c r="D8" s="9" t="n">
        <x:v>8</x:v>
      </x:c>
      <x:c r="E8" s="37" t="n">
        <x:f>IF('Controls'!D98&lt;&gt;"Inputs entered","",'Controls'!E80)</x:f>
        <x:v>-2</x:v>
      </x:c>
      <x:c r="F8" s="37" t="n">
        <x:f>IF('Controls'!D98&lt;&gt;"Inputs entered","",'Controls'!F80)</x:f>
        <x:v>1</x:v>
      </x:c>
      <x:c r="G8" s="37" t="n">
        <x:f>IF('Controls'!D98&lt;&gt;"Inputs entered","",'Controls'!G80)</x:f>
        <x:v>3</x:v>
      </x:c>
      <x:c r="H8" s="37" t="n">
        <x:f>IF('Controls'!D98&lt;&gt;"Inputs entered","",'Controls'!H80)</x:f>
        <x:v>5</x:v>
      </x:c>
      <x:c r="I8" s="37" t="n">
        <x:f>IF('Controls'!D98&lt;&gt;"Inputs entered","",'Controls'!I80)</x:f>
        <x:v>6</x:v>
      </x:c>
      <x:c r="J8" s="9" t="n">
        <x:v>10</x:v>
      </x:c>
      <x:c r="K8" s="48" t="str">
        <x:v>Pending</x:v>
      </x:c>
      <x:c r="L8" s="48"/>
      <x:c r="M8" s="48" t="str">
        <x:v>Assumption: confirm deliverability and timing</x:v>
      </x:c>
    </x:row>
    <x:row r="9" ht="48" customHeight="1">
      <x:c r="A9" s="2"/>
      <x:c r="B9" s="2"/>
      <x:c r="C9" s="2" t="str">
        <x:v>Partner</x:v>
      </x:c>
      <x:c r="D9" s="9" t="n">
        <x:v>3</x:v>
      </x:c>
      <x:c r="E9" s="37" t="n">
        <x:f>IF('Controls'!D98&lt;&gt;"Inputs entered","",'Controls'!E84)</x:f>
        <x:v>0.5</x:v>
      </x:c>
      <x:c r="F9" s="37" t="n">
        <x:f>IF('Controls'!D98&lt;&gt;"Inputs entered","",'Controls'!F84)</x:f>
        <x:v>1</x:v>
      </x:c>
      <x:c r="G9" s="37" t="n">
        <x:f>IF('Controls'!D98&lt;&gt;"Inputs entered","",'Controls'!G84)</x:f>
        <x:v>1.5</x:v>
      </x:c>
      <x:c r="H9" s="37" t="n">
        <x:f>IF('Controls'!D98&lt;&gt;"Inputs entered","",'Controls'!H84)</x:f>
        <x:v>2</x:v>
      </x:c>
      <x:c r="I9" s="37" t="n">
        <x:f>IF('Controls'!D98&lt;&gt;"Inputs entered","",'Controls'!I84)</x:f>
        <x:v>2</x:v>
      </x:c>
      <x:c r="J9" s="9" t="n">
        <x:v>0</x:v>
      </x:c>
      <x:c r="K9" s="48" t="str">
        <x:v>Pending</x:v>
      </x:c>
      <x:c r="L9" s="48"/>
      <x:c r="M9" s="48" t="str">
        <x:v>Assumption: confirm deliverability and timing</x:v>
      </x:c>
    </x:row>
    <x:row r="10" ht="48" customHeight="1">
      <x:c r="A10" s="2"/>
      <x:c r="B10" s="2"/>
      <x:c r="C10" s="2" t="str">
        <x:v>Do nothing</x:v>
      </x:c>
      <x:c r="D10" s="9" t="n">
        <x:v>0</x:v>
      </x:c>
      <x:c r="E10" s="37" t="n">
        <x:f>IF('Controls'!D98&lt;&gt;"Inputs entered","",'Controls'!E88)</x:f>
        <x:v>0</x:v>
      </x:c>
      <x:c r="F10" s="37" t="n">
        <x:f>IF('Controls'!D98&lt;&gt;"Inputs entered","",'Controls'!F88)</x:f>
        <x:v>0</x:v>
      </x:c>
      <x:c r="G10" s="37" t="n">
        <x:f>IF('Controls'!D98&lt;&gt;"Inputs entered","",'Controls'!G88)</x:f>
        <x:v>0</x:v>
      </x:c>
      <x:c r="H10" s="37" t="n">
        <x:f>IF('Controls'!D98&lt;&gt;"Inputs entered","",'Controls'!H88)</x:f>
        <x:v>0</x:v>
      </x:c>
      <x:c r="I10" s="37" t="n">
        <x:f>IF('Controls'!D98&lt;&gt;"Inputs entered","",'Controls'!I88)</x:f>
        <x:v>0</x:v>
      </x:c>
      <x:c r="J10" s="9" t="n">
        <x:v>0</x:v>
      </x:c>
      <x:c r="K10" s="48" t="str">
        <x:v>Pending</x:v>
      </x:c>
      <x:c r="L10" s="48"/>
      <x:c r="M10" s="48" t="str">
        <x:v>Assumption: confirm deliverability and timing</x:v>
      </x:c>
    </x:row>
    <x:row r="11" ht="25" customHeight="1">
      <x:c r="A11" s="2"/>
      <x:c r="B11" s="2"/>
      <x:c r="C11" s="2"/>
      <x:c r="D11" s="6"/>
      <x:c r="E11" s="6"/>
      <x:c r="F11" s="6"/>
      <x:c r="G11" s="6"/>
      <x:c r="H11" s="6"/>
      <x:c r="I11" s="6"/>
      <x:c r="J11" s="2"/>
      <x:c r="K11" s="2"/>
      <x:c r="L11" s="2"/>
      <x:c r="M11" s="2"/>
    </x:row>
    <x:row r="12" ht="25" customHeight="1">
      <x:c r="A12" s="2"/>
      <x:c r="B12" s="2"/>
      <x:c r="C12" s="2"/>
      <x:c r="D12" s="6"/>
      <x:c r="E12" s="6"/>
      <x:c r="F12" s="6"/>
      <x:c r="G12" s="6"/>
      <x:c r="H12" s="6"/>
      <x:c r="I12" s="6"/>
      <x:c r="J12" s="2"/>
      <x:c r="K12" s="2"/>
      <x:c r="L12" s="2"/>
      <x:c r="M12" s="2"/>
    </x:row>
    <x:row r="13" ht="25" customHeight="1">
      <x:c r="A13" s="2"/>
      <x:c r="B13" s="2"/>
      <x:c r="C13" s="2"/>
      <x:c r="D13" s="6"/>
      <x:c r="E13" s="6"/>
      <x:c r="F13" s="6"/>
      <x:c r="G13" s="6"/>
      <x:c r="H13" s="6"/>
      <x:c r="I13" s="6"/>
      <x:c r="J13" s="2"/>
      <x:c r="K13" s="2"/>
      <x:c r="L13" s="2"/>
      <x:c r="M13" s="2"/>
    </x:row>
    <x:row r="14" ht="38" customHeight="1">
      <x:c r="A14" s="2"/>
      <x:c r="B14" s="2"/>
      <x:c r="C14" s="30" t="str">
        <x:v>Choice</x:v>
      </x:c>
      <x:c r="D14" s="31" t="str">
        <x:v>Economic NPV</x:v>
      </x:c>
      <x:c r="E14" s="31" t="str">
        <x:v>NPV including zero floor</x:v>
      </x:c>
      <x:c r="F14" s="31" t="str">
        <x:v>Input status</x:v>
      </x:c>
      <x:c r="G14" s="31" t="str">
        <x:v>Decision status</x:v>
      </x:c>
      <x:c r="H14" s="31" t="str">
        <x:v>Best nonbuy candidate</x:v>
      </x:c>
      <x:c r="I14" s="6"/>
      <x:c r="J14" s="2"/>
      <x:c r="K14" s="2"/>
      <x:c r="L14" s="2"/>
      <x:c r="M14" s="2"/>
    </x:row>
    <x:row r="15" ht="44" customHeight="1">
      <x:c r="A15" s="2"/>
      <x:c r="B15" s="2"/>
      <x:c r="C15" s="49" t="str">
        <x:f>C7</x:f>
        <x:v>Buy</x:v>
      </x:c>
      <x:c r="D15" s="37" t="n">
        <x:f>IF(F15&lt;&gt;"Inputs entered","",NPV('Controls'!$D$17,E7:I7)+J7/(1+'Controls'!$D$17)^5-D7)</x:f>
        <x:v>4.826836295082487</x:v>
      </x:c>
      <x:c r="E15" s="14" t="n">
        <x:f>IF(NOT(ISNUMBER(D15)),"",MAX(0,D15))</x:f>
        <x:v>4.826836295082487</x:v>
      </x:c>
      <x:c r="F15" s="54" t="str">
        <x:f>IF(OR(COUNT(D7:J7)&lt;&gt;7,D7&lt;0,J7&lt;0,'Controls'!D34&lt;&gt;"Inputs entered"),"Invalid alternative inputs","Inputs entered")</x:f>
        <x:v>Inputs entered</x:v>
      </x:c>
      <x:c r="G15" s="23" t="str">
        <x:f>IF(F15&lt;&gt;"Inputs entered",F15,IF(K7="No","Infeasible",IF(OR(K7&lt;&gt;"Yes",L7="",M7=""),"Open feasibility","Feasibility confirmed")))</x:f>
        <x:v>Open feasibility</x:v>
      </x:c>
      <x:c r="H15" s="41"/>
      <x:c r="I15" s="6"/>
      <x:c r="J15" s="2"/>
      <x:c r="K15" s="2"/>
      <x:c r="L15" s="2"/>
      <x:c r="M15" s="2"/>
    </x:row>
    <x:row r="16" ht="44" customHeight="1">
      <x:c r="A16" s="2"/>
      <x:c r="B16" s="2"/>
      <x:c r="C16" s="49" t="str">
        <x:f>C8</x:f>
        <x:v>Build</x:v>
      </x:c>
      <x:c r="D16" s="37" t="n">
        <x:f>IF(F16&lt;&gt;"Inputs entered","",NPV('Controls'!$D$17,E8:I8)+J8/(1+'Controls'!$D$17)^5-D8)</x:f>
        <x:v>3.8031559225479477</x:v>
      </x:c>
      <x:c r="E16" s="14" t="n">
        <x:f>IF(NOT(ISNUMBER(D16)),"",MAX(0,D16))</x:f>
        <x:v>3.8031559225479477</x:v>
      </x:c>
      <x:c r="F16" s="54" t="str">
        <x:f>IF(OR(COUNT(D8:J8)&lt;&gt;7,D8&lt;0,J8&lt;0,'Controls'!D34&lt;&gt;"Inputs entered"),"Invalid alternative inputs","Inputs entered")</x:f>
        <x:v>Inputs entered</x:v>
      </x:c>
      <x:c r="G16" s="23" t="str">
        <x:f>IF(F16&lt;&gt;"Inputs entered",F16,IF(K8="No","Infeasible",IF(OR(K8&lt;&gt;"Yes",L8="",M8=""),"Open feasibility","Feasibility confirmed")))</x:f>
        <x:v>Open feasibility</x:v>
      </x:c>
      <x:c r="H16" s="23" t="n">
        <x:f>IF(G16="Feasibility confirmed",E16,0)</x:f>
        <x:v>0</x:v>
      </x:c>
      <x:c r="I16" s="6"/>
      <x:c r="J16" s="2"/>
      <x:c r="K16" s="2"/>
      <x:c r="L16" s="2"/>
      <x:c r="M16" s="2"/>
    </x:row>
    <x:row r="17" ht="44" customHeight="1">
      <x:c r="A17" s="2"/>
      <x:c r="B17" s="2"/>
      <x:c r="C17" s="49" t="str">
        <x:f>C9</x:f>
        <x:v>Partner</x:v>
      </x:c>
      <x:c r="D17" s="37" t="n">
        <x:f>IF(F17&lt;&gt;"Inputs entered","",NPV('Controls'!$D$17,E9:I9)+J9/(1+'Controls'!$D$17)^5-D9)</x:f>
        <x:v>1.3150605864230673</x:v>
      </x:c>
      <x:c r="E17" s="14" t="n">
        <x:f>IF(NOT(ISNUMBER(D17)),"",MAX(0,D17))</x:f>
        <x:v>1.3150605864230673</x:v>
      </x:c>
      <x:c r="F17" s="54" t="str">
        <x:f>IF(OR(COUNT(D9:J9)&lt;&gt;7,D9&lt;0,J9&lt;0,'Controls'!D34&lt;&gt;"Inputs entered"),"Invalid alternative inputs","Inputs entered")</x:f>
        <x:v>Inputs entered</x:v>
      </x:c>
      <x:c r="G17" s="23" t="str">
        <x:f>IF(F17&lt;&gt;"Inputs entered",F17,IF(K9="No","Infeasible",IF(OR(K9&lt;&gt;"Yes",L9="",M9=""),"Open feasibility","Feasibility confirmed")))</x:f>
        <x:v>Open feasibility</x:v>
      </x:c>
      <x:c r="H17" s="23" t="n">
        <x:f>IF(G17="Feasibility confirmed",E17,0)</x:f>
        <x:v>0</x:v>
      </x:c>
      <x:c r="I17" s="6"/>
      <x:c r="J17" s="2"/>
      <x:c r="K17" s="2"/>
      <x:c r="L17" s="2"/>
      <x:c r="M17" s="2"/>
    </x:row>
    <x:row r="18" ht="44" customHeight="1">
      <x:c r="A18" s="2"/>
      <x:c r="B18" s="2"/>
      <x:c r="C18" s="49" t="str">
        <x:f>C10</x:f>
        <x:v>Do nothing</x:v>
      </x:c>
      <x:c r="D18" s="37" t="n">
        <x:f>IF(F18&lt;&gt;"Inputs entered","",NPV('Controls'!$D$17,E10:I10)+J10/(1+'Controls'!$D$17)^5-D10)</x:f>
        <x:v>0</x:v>
      </x:c>
      <x:c r="E18" s="14" t="n">
        <x:f>IF(NOT(ISNUMBER(D18)),"",MAX(0,D18))</x:f>
        <x:v>0</x:v>
      </x:c>
      <x:c r="F18" s="54" t="str">
        <x:f>IF(OR(COUNT(D10:J10)&lt;&gt;7,D10&lt;0,J10&lt;0,'Controls'!D34&lt;&gt;"Inputs entered"),"Invalid alternative inputs","Inputs entered")</x:f>
        <x:v>Inputs entered</x:v>
      </x:c>
      <x:c r="G18" s="23" t="str">
        <x:f>IF(F18&lt;&gt;"Inputs entered",F18,IF(K10="No","Infeasible",IF(OR(K10&lt;&gt;"Yes",L10="",M10=""),"Open feasibility","Feasibility confirmed")))</x:f>
        <x:v>Open feasibility</x:v>
      </x:c>
      <x:c r="H18" s="23" t="n">
        <x:f>IF(G18="Feasibility confirmed",E18,0)</x:f>
        <x:v>0</x:v>
      </x:c>
      <x:c r="I18" s="6"/>
      <x:c r="J18" s="2"/>
      <x:c r="K18" s="2"/>
      <x:c r="L18" s="2"/>
      <x:c r="M18" s="2"/>
    </x:row>
    <x:row r="19" ht="25" customHeight="1">
      <x:c r="A19" s="2"/>
      <x:c r="B19" s="2"/>
      <x:c r="C19" s="2"/>
      <x:c r="D19" s="6"/>
      <x:c r="E19" s="6"/>
      <x:c r="F19" s="6"/>
      <x:c r="G19" s="6"/>
      <x:c r="H19" s="6"/>
      <x:c r="I19" s="6"/>
      <x:c r="J19" s="2"/>
      <x:c r="K19" s="2"/>
      <x:c r="L19" s="2"/>
      <x:c r="M19" s="2"/>
    </x:row>
    <x:row r="20" ht="25" customHeight="1">
      <x:c r="A20" s="2"/>
      <x:c r="B20" s="2"/>
      <x:c r="C20" s="2"/>
      <x:c r="D20" s="6"/>
      <x:c r="E20" s="6"/>
      <x:c r="F20" s="6"/>
      <x:c r="G20" s="6"/>
      <x:c r="H20" s="6"/>
      <x:c r="I20" s="6"/>
      <x:c r="J20" s="2"/>
      <x:c r="K20" s="2"/>
      <x:c r="L20" s="2"/>
      <x:c r="M20" s="2"/>
    </x:row>
    <x:row r="21" ht="25" customHeight="1">
      <x:c r="A21" s="2"/>
      <x:c r="B21" s="2"/>
      <x:c r="C21" s="2"/>
      <x:c r="D21" s="6"/>
      <x:c r="E21" s="6"/>
      <x:c r="F21" s="6"/>
      <x:c r="G21" s="6"/>
      <x:c r="H21" s="6"/>
      <x:c r="I21" s="6"/>
      <x:c r="J21" s="2"/>
      <x:c r="K21" s="2"/>
      <x:c r="L21" s="2"/>
      <x:c r="M21" s="2"/>
    </x:row>
    <x:row r="22" ht="36" customHeight="1">
      <x:c r="A22" s="2"/>
      <x:c r="B22" s="2"/>
      <x:c r="C22" s="16" t="str">
        <x:v>Buy NPV advantage</x:v>
      </x:c>
      <x:c r="D22" s="23" t="str">
        <x:f>IF(OR(COUNT(D15:D18)&lt;&gt;4,COUNTIFS(G16:G18,"Open feasibility")&gt;0),"",D15-MAX(H16:H18))</x:f>
      </x:c>
      <x:c r="E22" s="6"/>
      <x:c r="F22" s="6"/>
      <x:c r="G22" s="6"/>
      <x:c r="H22" s="6"/>
      <x:c r="I22" s="6"/>
      <x:c r="J22" s="2"/>
      <x:c r="K22" s="2"/>
      <x:c r="L22" s="2"/>
      <x:c r="M22" s="2"/>
    </x:row>
    <x:row r="23" ht="36" customHeight="1">
      <x:c r="A23" s="2"/>
      <x:c r="B23" s="2"/>
      <x:c r="C23" s="16"/>
      <x:c r="D23" s="41"/>
      <x:c r="E23" s="6"/>
      <x:c r="F23" s="6"/>
      <x:c r="G23" s="6"/>
      <x:c r="H23" s="6"/>
      <x:c r="I23" s="6"/>
      <x:c r="J23" s="2"/>
      <x:c r="K23" s="2"/>
      <x:c r="L23" s="2"/>
      <x:c r="M23" s="2"/>
    </x:row>
    <x:row r="24" ht="36" customHeight="1">
      <x:c r="A24" s="2"/>
      <x:c r="B24" s="2"/>
      <x:c r="C24" s="16" t="str">
        <x:v>Highest feasible nonbuy NPV</x:v>
      </x:c>
      <x:c r="D24" s="23" t="str">
        <x:f>IF(OR(COUNT(D16:D18)&lt;&gt;3,COUNTIFS(G16:G18,"Open feasibility")&gt;0),"",MAX(H16:H18))</x:f>
      </x:c>
      <x:c r="E24" s="6"/>
      <x:c r="F24" s="6"/>
      <x:c r="G24" s="6"/>
      <x:c r="H24" s="6"/>
      <x:c r="I24" s="6"/>
      <x:c r="J24" s="2"/>
      <x:c r="K24" s="2"/>
      <x:c r="L24" s="2"/>
      <x:c r="M24" s="2"/>
    </x:row>
    <x:row r="25" ht="36" customHeight="1">
      <x:c r="A25" s="2"/>
      <x:c r="B25" s="2"/>
      <x:c r="C25" s="16"/>
      <x:c r="D25" s="41"/>
      <x:c r="E25" s="6"/>
      <x:c r="F25" s="6"/>
      <x:c r="G25" s="6"/>
      <x:c r="H25" s="6"/>
      <x:c r="I25" s="6"/>
      <x:c r="J25" s="2"/>
      <x:c r="K25" s="2"/>
      <x:c r="L25" s="2"/>
      <x:c r="M25" s="2"/>
    </x:row>
    <x:row r="26" ht="36" customHeight="1">
      <x:c r="A26" s="2"/>
      <x:c r="B26" s="2"/>
      <x:c r="C26" s="16" t="str">
        <x:v>Comparison basis</x:v>
      </x:c>
      <x:c r="D26" s="42" t="str">
        <x:f>IF('Controls'!D14&lt;&gt;"Yes","Open comparability",IF(OR(COUNT(D15:D18)&lt;&gt;4,COUNTIFS(G15:G18,"Open feasibility")&gt;0,COUNTIFS(G15:G18,"Invalid alternative inputs")&gt;0),"Open alternative review","Comparable alternatives"))</x:f>
        <x:v>Open comparability</x:v>
      </x:c>
      <x:c r="E26" s="6"/>
      <x:c r="F26" s="6"/>
      <x:c r="G26" s="6"/>
      <x:c r="H26" s="6"/>
      <x:c r="I26" s="6"/>
      <x:c r="J26" s="2"/>
      <x:c r="K26" s="2"/>
      <x:c r="L26" s="2"/>
      <x:c r="M26" s="2"/>
    </x:row>
    <x:row r="27" ht="36" customHeight="1">
      <x:c r="A27" s="2"/>
      <x:c r="B27" s="2"/>
      <x:c r="C27" s="16"/>
      <x:c r="D27" s="41"/>
      <x:c r="E27" s="6"/>
      <x:c r="F27" s="6"/>
      <x:c r="G27" s="6"/>
      <x:c r="H27" s="6"/>
      <x:c r="I27" s="6"/>
      <x:c r="J27" s="2"/>
      <x:c r="K27" s="2"/>
      <x:c r="L27" s="2"/>
      <x:c r="M27" s="2"/>
    </x:row>
    <x:row r="28" ht="36" customHeight="1">
      <x:c r="A28" s="2"/>
      <x:c r="B28" s="2"/>
      <x:c r="C28" s="16"/>
      <x:c r="D28" s="41"/>
      <x:c r="E28" s="6"/>
      <x:c r="F28" s="6"/>
      <x:c r="G28" s="6"/>
      <x:c r="H28" s="6"/>
      <x:c r="I28" s="6"/>
      <x:c r="J28" s="2"/>
      <x:c r="K28" s="2"/>
      <x:c r="L28" s="2"/>
      <x:c r="M28" s="2"/>
    </x:row>
    <x:row r="29" ht="36" customHeight="1">
      <x:c r="A29" s="2"/>
      <x:c r="B29" s="2"/>
      <x:c r="C29" s="16" t="str">
        <x:v>Opportunity cost deducted from price</x:v>
      </x:c>
      <x:c r="D29" s="23" t="str">
        <x:f>IF(D26&lt;&gt;"Comparable alternatives","",MAX(0,H16:H18))</x:f>
      </x:c>
      <x:c r="E29" s="6"/>
      <x:c r="F29" s="6"/>
      <x:c r="G29" s="6"/>
      <x:c r="H29" s="6"/>
      <x:c r="I29" s="6"/>
      <x:c r="J29" s="2"/>
      <x:c r="K29" s="2"/>
      <x:c r="L29" s="2"/>
      <x:c r="M29" s="2"/>
    </x:row>
    <x:row r="30" ht="25" customHeight="1">
      <x:c r="A30" s="2"/>
      <x:c r="B30" s="2"/>
      <x:c r="C30" s="2"/>
      <x:c r="D30" s="6"/>
      <x:c r="E30" s="6"/>
      <x:c r="F30" s="6"/>
      <x:c r="G30" s="6"/>
      <x:c r="H30" s="6"/>
      <x:c r="I30" s="6"/>
      <x:c r="J30" s="2"/>
      <x:c r="K30" s="2"/>
      <x:c r="L30" s="2"/>
      <x:c r="M30" s="2"/>
    </x:row>
    <x:row r="31" ht="25" customHeight="1">
      <x:c r="A31" s="2"/>
      <x:c r="B31" s="2"/>
      <x:c r="C31" s="2"/>
      <x:c r="D31" s="6"/>
      <x:c r="E31" s="6"/>
      <x:c r="F31" s="6"/>
      <x:c r="G31" s="6"/>
      <x:c r="H31" s="6"/>
      <x:c r="I31" s="6"/>
      <x:c r="J31" s="2"/>
      <x:c r="K31" s="2"/>
      <x:c r="L31" s="2"/>
      <x:c r="M31" s="2"/>
    </x:row>
    <x:row r="32" ht="25" customHeight="1">
      <x:c r="A32" s="2"/>
      <x:c r="B32" s="2"/>
      <x:c r="C32" s="7" t="str">
        <x:v>Use the same five-year horizon, annual unlevered hurdle and common baseline. Initial costs occur at close.</x:v>
      </x:c>
      <x:c r="D32" s="6"/>
      <x:c r="E32" s="6"/>
      <x:c r="F32" s="6"/>
      <x:c r="G32" s="6"/>
      <x:c r="H32" s="6"/>
      <x:c r="I32" s="6"/>
      <x:c r="J32" s="2"/>
      <x:c r="K32" s="2"/>
      <x:c r="L32" s="2"/>
      <x:c r="M32" s="2"/>
    </x:row>
    <x:row r="33" ht="25" customHeight="1">
      <x:c r="A33" s="2"/>
      <x:c r="B33" s="2"/>
      <x:c r="C33" s="2"/>
      <x:c r="D33" s="6"/>
      <x:c r="E33" s="6"/>
      <x:c r="F33" s="6"/>
      <x:c r="G33" s="6"/>
      <x:c r="H33" s="6"/>
      <x:c r="I33" s="6"/>
      <x:c r="J33" s="2"/>
      <x:c r="K33" s="2"/>
      <x:c r="L33" s="2"/>
      <x:c r="M33" s="2"/>
    </x:row>
    <x:row r="34" ht="25" customHeight="1">
      <x:c r="A34" s="2"/>
      <x:c r="B34" s="2"/>
      <x:c r="C34" s="7" t="str">
        <x:v>Annual cash flows include follow-on investment and foregone cash flow. Terminal values are entered separately.</x:v>
      </x:c>
      <x:c r="D34" s="6"/>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7" t="str">
        <x:v>A positive feasible nonbuy NPV becomes the acquisition opportunity cost only after comparability is confirmed.</x:v>
      </x:c>
      <x:c r="D36" s="6"/>
      <x:c r="E36" s="6"/>
      <x:c r="F36" s="6"/>
      <x:c r="G36" s="6"/>
      <x:c r="H36" s="6"/>
      <x:c r="I36" s="6"/>
      <x:c r="J36" s="2"/>
      <x:c r="K36" s="2"/>
      <x:c r="L36" s="2"/>
      <x:c r="M36" s="2"/>
    </x:row>
    <x:row r="37" ht="25" customHeight="1">
      <x:c r="A37" s="2"/>
      <x:c r="B37" s="2"/>
      <x:c r="C37" s="2"/>
      <x:c r="D37" s="6"/>
      <x:c r="E37" s="6"/>
      <x:c r="F37" s="6"/>
      <x:c r="G37" s="6"/>
      <x:c r="H37" s="6"/>
      <x:c r="I37" s="6"/>
      <x:c r="J37" s="2"/>
      <x:c r="K37" s="2"/>
      <x:c r="L37" s="2"/>
      <x:c r="M37" s="2"/>
    </x:row>
    <x:row r="38" ht="25" customHeight="1">
      <x:c r="A38" s="2"/>
      <x:c r="B38" s="2"/>
      <x:c r="C38" s="7" t="str">
        <x:v>The zero floor preserves the option to retain capital. No numeric ranking establishes capability, timing or feasibility.</x:v>
      </x:c>
      <x:c r="D38" s="6"/>
      <x:c r="E38" s="6"/>
      <x:c r="F38" s="6"/>
      <x:c r="G38" s="6"/>
      <x:c r="H38" s="6"/>
      <x:c r="I38" s="6"/>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7" t="str">
        <x:v>Buy NPV includes all synergy cash. Price shares positive annual cash benefits and bears negative annual cash in full.</x:v>
      </x:c>
      <x:c r="D40" s="6"/>
      <x:c r="E40" s="6"/>
      <x:c r="F40" s="6"/>
      <x:c r="G40" s="6"/>
      <x:c r="H40" s="6"/>
      <x:c r="I40" s="6"/>
      <x:c r="J40" s="2"/>
      <x:c r="K40" s="2"/>
      <x:c r="L40" s="2"/>
      <x:c r="M40" s="2"/>
    </x:row>
    <x:row r="41" ht="25" customHeight="1">
      <x:c r="A41" s="2"/>
      <x:c r="B41" s="2"/>
      <x:c r="C41" s="2"/>
      <x:c r="D41" s="6"/>
      <x:c r="E41" s="6"/>
      <x:c r="F41" s="6"/>
      <x:c r="G41" s="6"/>
      <x:c r="H41" s="6"/>
      <x:c r="I41" s="6"/>
      <x:c r="J41" s="2"/>
      <x:c r="K41" s="2"/>
      <x:c r="L41" s="2"/>
      <x:c r="M41" s="2"/>
    </x:row>
    <x:row r="42" ht="25" customHeight="1">
      <x:c r="A42" s="2"/>
      <x:c r="B42" s="2"/>
      <x:c r="C42" s="7" t="str">
        <x:v>These are mutually exclusive projects. Available capital and funding are modeled in detail for Buy only.</x:v>
      </x:c>
      <x:c r="D42" s="6"/>
      <x:c r="E42" s="6"/>
      <x:c r="F42" s="6"/>
      <x:c r="G42" s="6"/>
      <x:c r="H42" s="6"/>
      <x:c r="I42" s="6"/>
      <x:c r="J42" s="2"/>
      <x:c r="K42" s="2"/>
      <x:c r="L42" s="2"/>
      <x:c r="M42" s="2"/>
    </x:row>
    <x:row r="43" ht="25" customHeight="1">
      <x:c r="A43" s="2"/>
      <x:c r="B43" s="2"/>
      <x:c r="C43" s="2"/>
      <x:c r="D43" s="6"/>
      <x:c r="E43" s="6"/>
      <x:c r="F43" s="6"/>
      <x:c r="G43" s="6"/>
      <x:c r="H43" s="6"/>
      <x:c r="I43" s="6"/>
      <x:c r="J43" s="2"/>
      <x:c r="K43" s="2"/>
      <x:c r="L43" s="2"/>
      <x:c r="M43" s="2"/>
    </x:row>
    <x:row r="44" ht="25" customHeight="1">
      <x:c r="A44" s="2"/>
      <x:c r="B44" s="2"/>
      <x:c r="C44" s="2"/>
      <x:c r="D44" s="6"/>
      <x:c r="E44" s="6"/>
      <x:c r="F44" s="6"/>
      <x:c r="G44" s="6"/>
      <x:c r="H44" s="6"/>
      <x:c r="I44" s="6"/>
      <x:c r="J44" s="2"/>
      <x:c r="K44" s="2"/>
      <x:c r="L44" s="2"/>
      <x:c r="M44" s="2"/>
    </x:row>
    <x:row r="45" ht="25" customHeight="1">
      <x:c r="A45" s="2"/>
      <x:c r="B45" s="2"/>
      <x:c r="C45" s="2"/>
      <x:c r="D45" s="6"/>
      <x:c r="E45" s="6"/>
      <x:c r="F45" s="6"/>
      <x:c r="G45" s="6"/>
      <x:c r="H45" s="6"/>
      <x:c r="I45" s="6"/>
      <x:c r="J45" s="2"/>
      <x:c r="K45" s="2"/>
      <x:c r="L45" s="2"/>
      <x:c r="M45" s="2"/>
    </x:row>
    <x:row r="46" ht="25" customHeight="1">
      <x:c r="A46" s="2"/>
      <x:c r="B46" s="2"/>
      <x:c r="C46" s="2"/>
      <x:c r="D46" s="6"/>
      <x:c r="E46" s="6"/>
      <x:c r="F46" s="6"/>
      <x:c r="G46" s="6"/>
      <x:c r="H46" s="6"/>
      <x:c r="I46" s="6"/>
      <x:c r="J46" s="2"/>
      <x:c r="K46" s="2"/>
      <x:c r="L46" s="2"/>
      <x:c r="M46" s="2"/>
    </x:row>
    <x:row r="47" ht="25" customHeight="1">
      <x:c r="A47" s="2"/>
      <x:c r="B47" s="2"/>
      <x:c r="C47" s="2"/>
      <x:c r="D47" s="6"/>
      <x:c r="E47" s="6"/>
      <x:c r="F47" s="6"/>
      <x:c r="G47" s="6"/>
      <x:c r="H47" s="6"/>
      <x:c r="I47" s="6"/>
      <x:c r="J47" s="2"/>
      <x:c r="K47" s="2"/>
      <x:c r="L47" s="2"/>
      <x:c r="M47" s="2"/>
    </x:row>
    <x:row r="48" ht="25" customHeight="1">
      <x:c r="A48" s="2"/>
      <x:c r="B48" s="2"/>
      <x:c r="C48" s="2"/>
      <x:c r="D48" s="6"/>
      <x:c r="E48" s="6"/>
      <x:c r="F48" s="6"/>
      <x:c r="G48" s="6"/>
      <x:c r="H48" s="6"/>
      <x:c r="I48" s="6"/>
      <x:c r="J48" s="2"/>
      <x:c r="K48" s="2"/>
      <x:c r="L48" s="2"/>
      <x:c r="M48" s="2"/>
    </x:row>
    <x:row r="49" ht="25" customHeight="1">
      <x:c r="A49" s="2"/>
      <x:c r="B49" s="2"/>
      <x:c r="C49" s="2"/>
      <x:c r="D49" s="6"/>
      <x:c r="E49" s="6"/>
      <x:c r="F49" s="6"/>
      <x:c r="G49" s="6"/>
      <x:c r="H49" s="6"/>
      <x:c r="I49" s="6"/>
      <x:c r="J49" s="2"/>
      <x:c r="K49" s="2"/>
      <x:c r="L49" s="2"/>
      <x:c r="M49" s="2"/>
    </x:row>
    <x:row r="50" ht="25" customHeight="1">
      <x:c r="A50" s="2"/>
      <x:c r="B50" s="2"/>
      <x:c r="C50" s="2"/>
      <x:c r="D50" s="6"/>
      <x:c r="E50" s="6"/>
      <x:c r="F50" s="6"/>
      <x:c r="G50" s="6"/>
      <x:c r="H50" s="6"/>
      <x:c r="I50" s="6"/>
      <x:c r="J50" s="2"/>
      <x:c r="K50" s="2"/>
      <x:c r="L50" s="2"/>
      <x:c r="M50" s="2"/>
    </x:row>
    <x:row r="51" ht="25" customHeight="1">
      <x:c r="A51" s="2"/>
      <x:c r="B51" s="2"/>
      <x:c r="C51" s="2"/>
      <x:c r="D51" s="6"/>
      <x:c r="E51" s="6"/>
      <x:c r="F51" s="6"/>
      <x:c r="G51" s="6"/>
      <x:c r="H51" s="6"/>
      <x:c r="I51" s="6"/>
      <x:c r="J51" s="2"/>
      <x:c r="K51" s="2"/>
      <x:c r="L51" s="2"/>
      <x:c r="M51" s="2"/>
    </x:row>
    <x:row r="52" ht="25" customHeight="1">
      <x:c r="A52" s="2"/>
      <x:c r="B52" s="2"/>
      <x:c r="C52" s="2"/>
      <x:c r="D52" s="6"/>
      <x:c r="E52" s="6"/>
      <x:c r="F52" s="6"/>
      <x:c r="G52" s="6"/>
      <x:c r="H52" s="6"/>
      <x:c r="I52" s="6"/>
      <x:c r="J52" s="2"/>
      <x:c r="K52" s="2"/>
      <x:c r="L52" s="2"/>
      <x:c r="M52" s="2"/>
    </x:row>
    <x:row r="53" ht="25" customHeight="1">
      <x:c r="A53" s="2"/>
      <x:c r="B53" s="2"/>
      <x:c r="C53" s="2"/>
      <x:c r="D53" s="6"/>
      <x:c r="E53" s="6"/>
      <x:c r="F53" s="6"/>
      <x:c r="G53" s="6"/>
      <x:c r="H53" s="6"/>
      <x:c r="I53" s="6"/>
      <x:c r="J53" s="2"/>
      <x:c r="K53" s="2"/>
      <x:c r="L53" s="2"/>
      <x:c r="M53" s="2"/>
    </x:row>
    <x:row r="54" ht="25" customHeight="1">
      <x:c r="A54" s="2"/>
      <x:c r="B54" s="2"/>
      <x:c r="C54" s="2"/>
      <x:c r="D54" s="6"/>
      <x:c r="E54" s="6"/>
      <x:c r="F54" s="6"/>
      <x:c r="G54" s="6"/>
      <x:c r="H54" s="6"/>
      <x:c r="I54" s="6"/>
      <x:c r="J54" s="2"/>
      <x:c r="K54" s="2"/>
      <x:c r="L54" s="2"/>
      <x:c r="M54" s="2"/>
    </x:row>
    <x:row r="55" ht="25" customHeight="1">
      <x:c r="A55" s="2"/>
      <x:c r="B55" s="2"/>
      <x:c r="C55" s="2"/>
      <x:c r="D55" s="6"/>
      <x:c r="E55" s="6"/>
      <x:c r="F55" s="6"/>
      <x:c r="G55" s="6"/>
      <x:c r="H55" s="6"/>
      <x:c r="I55" s="6"/>
      <x:c r="J55" s="2"/>
      <x:c r="K55" s="2"/>
      <x:c r="L55" s="2"/>
      <x:c r="M55" s="2"/>
    </x:row>
    <x:row r="56" ht="25" customHeight="1">
      <x:c r="A56" s="2"/>
      <x:c r="B56" s="2"/>
      <x:c r="C56" s="2"/>
      <x:c r="D56" s="6"/>
      <x:c r="E56" s="6"/>
      <x:c r="F56" s="6"/>
      <x:c r="G56" s="6"/>
      <x:c r="H56" s="6"/>
      <x:c r="I56" s="6"/>
      <x:c r="J56" s="2"/>
      <x:c r="K56" s="2"/>
      <x:c r="L56" s="2"/>
      <x:c r="M56" s="2"/>
    </x:row>
    <x:row r="57" ht="25" customHeight="1">
      <x:c r="A57" s="2"/>
      <x:c r="B57" s="2"/>
      <x:c r="C57" s="2"/>
      <x:c r="D57" s="6"/>
      <x:c r="E57" s="6"/>
      <x:c r="F57" s="6"/>
      <x:c r="G57" s="6"/>
      <x:c r="H57" s="6"/>
      <x:c r="I57" s="6"/>
      <x:c r="J57" s="2"/>
      <x:c r="K57" s="2"/>
      <x:c r="L57" s="2"/>
      <x:c r="M57" s="2"/>
    </x:row>
    <x:row r="58" ht="25" customHeight="1">
      <x:c r="A58" s="2"/>
      <x:c r="B58" s="2"/>
      <x:c r="C58" s="2"/>
      <x:c r="D58" s="6"/>
      <x:c r="E58" s="6"/>
      <x:c r="F58" s="6"/>
      <x:c r="G58" s="6"/>
      <x:c r="H58" s="6"/>
      <x:c r="I58" s="6"/>
      <x:c r="J58" s="2"/>
      <x:c r="K58" s="2"/>
      <x:c r="L58" s="2"/>
      <x:c r="M58" s="2"/>
    </x:row>
    <x:row r="59" ht="25" customHeight="1">
      <x:c r="A59" s="2"/>
      <x:c r="B59" s="2"/>
      <x:c r="C59" s="2"/>
      <x:c r="D59" s="6"/>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2"/>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2"/>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2"/>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2"/>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conditionalFormatting sqref="F15:G18">
    <x:cfRule type="containsText" dxfId="29" priority="1" operator="containsText" text="Open"/>
    <x:cfRule type="containsText" dxfId="30" priority="2" operator="containsText" text="Invalid"/>
    <x:cfRule type="containsText" dxfId="31" priority="3" operator="containsText" text="Missing"/>
    <x:cfRule type="containsText" dxfId="32" priority="4" operator="containsText" text="Hold"/>
    <x:cfRule type="containsText" dxfId="33" priority="5" operator="containsText" text="Select Downside"/>
    <x:cfRule type="containsText" dxfId="34" priority="6" operator="containsText" text="No positive"/>
    <x:cfRule type="containsText" dxfId="35" priority="7" operator="containsText" text="Breach"/>
  </x:conditionalFormatting>
  <x:conditionalFormatting sqref="D26:D26">
    <x:cfRule type="containsText" dxfId="36" priority="8" operator="containsText" text="Open"/>
    <x:cfRule type="containsText" dxfId="37" priority="9" operator="containsText" text="Invalid"/>
    <x:cfRule type="containsText" dxfId="38" priority="10" operator="containsText" text="Missing"/>
    <x:cfRule type="containsText" dxfId="39" priority="11" operator="containsText" text="Hold"/>
    <x:cfRule type="containsText" dxfId="40" priority="12" operator="containsText" text="Select Downside"/>
    <x:cfRule type="containsText" dxfId="41" priority="13" operator="containsText" text="No positive"/>
    <x:cfRule type="containsText" dxfId="42" priority="14" operator="containsText" text="Breach"/>
  </x:conditionalFormatting>
  <x:dataValidations count="1">
    <x:dataValidation type="list" sqref="K7:K10">
      <x:formula1>"Yes,No,Pending"</x:formula1>
    </x:dataValidation>
  </x:dataValidations>
  <x:pageMargins left="0.7" right="0.7" top="0.75" bottom="0.75" header="0.3" footer="0.3"/>
</x:worksheet>
</file>

<file path=xl/worksheets/sheet7.xml><?xml version="1.0" encoding="utf-8"?>
<x:worksheet xmlns:x="http://schemas.openxmlformats.org/spreadsheetml/2006/main">
  <x:sheetPr>
    <x:tabColor rgb="FFCEC9BC"/>
  </x:sheetPr>
  <x:sheetViews>
    <x:sheetView showGridLines="0" workbookViewId="0"/>
  </x:sheetViews>
  <x:sheetFormatPr defaultRowHeight="15"/>
  <x:cols>
    <x:col min="1" max="1" width="2.5" hidden="0" customWidth="1"/>
    <x:col min="2" max="2" width="2.5" hidden="0" customWidth="1"/>
    <x:col min="3" max="3" width="34" hidden="0" customWidth="1"/>
    <x:col min="4" max="4" width="122"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16" hidden="0" customWidth="1"/>
    <x:col min="12" max="12" width="16" hidden="0" customWidth="1"/>
    <x:col min="13" max="13" width="16" hidden="0" customWidth="1"/>
  </x:cols>
  <x:sheetData>
    <x:row r="1" ht="25" customHeight="1">
      <x:c r="A1" s="2"/>
      <x:c r="B1" s="2"/>
      <x:c r="C1" s="2"/>
      <x:c r="D1" s="2"/>
      <x:c r="E1" s="2"/>
      <x:c r="F1" s="2"/>
      <x:c r="G1" s="2"/>
      <x:c r="H1" s="2"/>
      <x:c r="I1" s="2"/>
      <x:c r="J1" s="2"/>
      <x:c r="K1" s="2"/>
      <x:c r="L1" s="2"/>
      <x:c r="M1" s="2"/>
    </x:row>
    <x:row r="2" ht="25" customHeight="1">
      <x:c r="A2" s="2"/>
      <x:c r="B2" s="2"/>
      <x:c r="C2" s="3" t="str">
        <x:v>Guide</x:v>
      </x:c>
      <x:c r="D2" s="2"/>
      <x:c r="E2" s="2"/>
      <x:c r="F2" s="2"/>
      <x:c r="G2" s="2"/>
      <x:c r="H2" s="2"/>
      <x:c r="I2" s="2"/>
      <x:c r="J2" s="2"/>
      <x:c r="K2" s="2"/>
      <x:c r="L2" s="2"/>
      <x:c r="M2" s="2"/>
    </x:row>
    <x:row r="3" ht="25" customHeight="1">
      <x:c r="A3" s="2"/>
      <x:c r="B3" s="2"/>
      <x:c r="C3" s="2"/>
      <x:c r="D3" s="2"/>
      <x:c r="E3" s="2"/>
      <x:c r="F3" s="2"/>
      <x:c r="G3" s="2"/>
      <x:c r="H3" s="2"/>
      <x:c r="I3" s="2"/>
      <x:c r="J3" s="2"/>
      <x:c r="K3" s="2"/>
      <x:c r="L3" s="2"/>
      <x:c r="M3" s="2"/>
    </x:row>
    <x:row r="4" ht="25" customHeight="1">
      <x:c r="A4" s="2"/>
      <x:c r="B4" s="2"/>
      <x:c r="C4" s="2" t="str">
        <x:v>Case selected</x:v>
      </x:c>
      <x:c r="D4" s="5" t="str">
        <x:f>'Controls'!D9</x:f>
        <x:v>Base</x:v>
      </x:c>
      <x:c r="E4" s="2"/>
      <x:c r="F4" s="2"/>
      <x:c r="G4" s="2"/>
      <x:c r="H4" s="2"/>
      <x:c r="I4" s="2"/>
      <x:c r="J4" s="2"/>
      <x:c r="K4" s="2"/>
      <x:c r="L4" s="2"/>
      <x:c r="M4" s="2"/>
    </x:row>
    <x:row r="5" ht="25" customHeight="1">
      <x:c r="A5" s="2"/>
      <x:c r="B5" s="2"/>
      <x:c r="C5" s="2"/>
      <x:c r="D5" s="2"/>
      <x:c r="E5" s="2"/>
      <x:c r="F5" s="2"/>
      <x:c r="G5" s="2"/>
      <x:c r="H5" s="2"/>
      <x:c r="I5" s="2"/>
      <x:c r="J5" s="2"/>
      <x:c r="K5" s="2"/>
      <x:c r="L5" s="2"/>
      <x:c r="M5" s="2"/>
    </x:row>
    <x:row r="6" ht="38" customHeight="1">
      <x:c r="A6" s="2"/>
      <x:c r="B6" s="2"/>
      <x:c r="C6" s="30" t="str">
        <x:v>Method / use</x:v>
      </x:c>
      <x:c r="D6" s="31" t="str">
        <x:v>Definition</x:v>
      </x:c>
      <x:c r="E6" s="6"/>
      <x:c r="F6" s="6"/>
      <x:c r="G6" s="6"/>
      <x:c r="H6" s="6"/>
      <x:c r="I6" s="6"/>
      <x:c r="J6" s="2"/>
      <x:c r="K6" s="2"/>
      <x:c r="L6" s="2"/>
      <x:c r="M6" s="2"/>
    </x:row>
    <x:row r="7" ht="82" customHeight="1">
      <x:c r="A7" s="2"/>
      <x:c r="B7" s="2"/>
      <x:c r="C7" s="16" t="str">
        <x:v>First 10–15 minutes</x:v>
      </x:c>
      <x:c r="D7" s="41" t="str">
        <x:v>Set the proposed enterprise value, cash reserve, return hurdle and strategic ceiling. Review the annual assumptions, choose financing and compare Buy / Build / Partner / Do nothing. Select Downside before using the hard walk-away.</x:v>
      </x:c>
      <x:c r="E7" s="6"/>
      <x:c r="F7" s="6"/>
      <x:c r="G7" s="6"/>
      <x:c r="H7" s="6"/>
      <x:c r="I7" s="6"/>
      <x:c r="J7" s="2"/>
      <x:c r="K7" s="2"/>
      <x:c r="L7" s="2"/>
      <x:c r="M7" s="2"/>
    </x:row>
    <x:row r="8" ht="82" customHeight="1">
      <x:c r="A8" s="2"/>
      <x:c r="B8" s="2"/>
      <x:c r="C8" s="16" t="str">
        <x:v>Price basis</x:v>
      </x:c>
      <x:c r="D8" s="41" t="str">
        <x:v>Every price is debt-free, cash-free enterprise value with normalized working capital. Convert actual seller equity proceeds separately for debt, cash, debt-like items and the agreed working-capital mechanism.</x:v>
      </x:c>
      <x:c r="E8" s="6"/>
      <x:c r="F8" s="6"/>
      <x:c r="G8" s="6"/>
      <x:c r="H8" s="6"/>
      <x:c r="I8" s="6"/>
      <x:c r="J8" s="2"/>
      <x:c r="K8" s="2"/>
      <x:c r="L8" s="2"/>
      <x:c r="M8" s="2"/>
    </x:row>
    <x:row r="9" ht="82" customHeight="1">
      <x:c r="A9" s="2"/>
      <x:c r="B9" s="2"/>
      <x:c r="C9" s="16" t="str">
        <x:v>Cases and timing</x:v>
      </x:c>
      <x:c r="D9" s="41" t="str">
        <x:v>One active case updates the same five-year build. Initial cash flows occur at close and annual cash flows at year-end. Base and Upside show active-case figures only. Downside must stress buyer and target together, including target revenue and margin.</x:v>
      </x:c>
      <x:c r="E9" s="6"/>
      <x:c r="F9" s="6"/>
      <x:c r="G9" s="6"/>
      <x:c r="H9" s="6"/>
      <x:c r="I9" s="6"/>
      <x:c r="J9" s="2"/>
      <x:c r="K9" s="2"/>
      <x:c r="L9" s="2"/>
      <x:c r="M9" s="2"/>
    </x:row>
    <x:row r="10" ht="82" customHeight="1">
      <x:c r="A10" s="2"/>
      <x:c r="B10" s="2"/>
      <x:c r="C10" s="16" t="str">
        <x:v>Available capital</x:v>
      </x:c>
      <x:c r="D10" s="41" t="str">
        <x:v>Buyer cash available = total buyer cash less restricted cash, the minimum unrestricted reserve and other commitments at close. Future buyer cash already deducts taxes, capex, working capital and all non-deal investment, but excludes existing interest and principal.</x:v>
      </x:c>
      <x:c r="E10" s="6"/>
      <x:c r="F10" s="6"/>
      <x:c r="G10" s="6"/>
      <x:c r="H10" s="6"/>
      <x:c r="I10" s="6"/>
      <x:c r="J10" s="2"/>
      <x:c r="K10" s="2"/>
      <x:c r="L10" s="2"/>
      <x:c r="M10" s="2"/>
    </x:row>
    <x:row r="11" ht="82" customHeight="1">
      <x:c r="A11" s="2"/>
      <x:c r="B11" s="2"/>
      <x:c r="C11" s="16" t="str">
        <x:v>Target standalone cash flow</x:v>
      </x:c>
      <x:c r="D11" s="41" t="str">
        <x:v>EBITDA less D&amp;A gives EBIT. Tax is applied only to positive EBIT. Add D&amp;A to NOPAT, then deduct capex, the increase in working capital and follow-on investment. Initial additional investment is separate. No interest tax shield or loss tax benefit is assumed.</x:v>
      </x:c>
      <x:c r="E11" s="6"/>
      <x:c r="F11" s="6"/>
      <x:c r="G11" s="6"/>
      <x:c r="H11" s="6"/>
      <x:c r="I11" s="6"/>
      <x:c r="J11" s="2"/>
      <x:c r="K11" s="2"/>
      <x:c r="L11" s="2"/>
      <x:c r="M11" s="2"/>
    </x:row>
    <x:row r="12" ht="82" customHeight="1">
      <x:c r="A12" s="2"/>
      <x:c r="B12" s="2"/>
      <x:c r="C12" s="16" t="str">
        <x:v>Buyer-created synergy</x:v>
      </x:c>
      <x:c r="D12" s="41" t="str">
        <x:v>Enter incremental after-tax cash flow net of realization cost once, excluding it from target standalone and buyer baseline inputs. Economic NPV includes all synergy cash. Price includes the allowed share of each positive annual cash flow and the full negative cash burden. No synergy terminal value or EBITDA add-back supports borrowing.</x:v>
      </x:c>
      <x:c r="E12" s="6"/>
      <x:c r="F12" s="6"/>
      <x:c r="G12" s="6"/>
      <x:c r="H12" s="6"/>
      <x:c r="I12" s="6"/>
      <x:c r="J12" s="2"/>
      <x:c r="K12" s="2"/>
      <x:c r="L12" s="2"/>
      <x:c r="M12" s="2"/>
    </x:row>
    <x:row r="13" ht="82" customHeight="1">
      <x:c r="A13" s="2"/>
      <x:c r="B13" s="2"/>
      <x:c r="C13" s="16" t="str">
        <x:v>Debt capacity</x:v>
      </x:c>
      <x:c r="D13" s="41" t="str">
        <x:v>For every year, solve new debt allowed by maximum opening gross debt / annual EBITDA and minimum annual EBITDA / cash interest. Use the minimum across years, capped at the committed borrowing limit. A negative underlying ratio capacity means even zero new debt fails the stated constraints.</x:v>
      </x:c>
      <x:c r="E13" s="6"/>
      <x:c r="F13" s="6"/>
      <x:c r="G13" s="6"/>
      <x:c r="H13" s="6"/>
      <x:c r="I13" s="6"/>
      <x:c r="J13" s="2"/>
      <x:c r="K13" s="2"/>
      <x:c r="L13" s="2"/>
      <x:c r="M13" s="2"/>
    </x:row>
    <x:row r="14" ht="82" customHeight="1">
      <x:c r="A14" s="2"/>
      <x:c r="B14" s="2"/>
      <x:c r="C14" s="16" t="str">
        <x:v>Debt and cash timing</x:v>
      </x:c>
      <x:c r="D14" s="41" t="str">
        <x:v>Interest uses opening balances. New debt repays the entered original-principal percentage annually and all remaining principal in Year 5. Existing debt follows its entered schedule. No refinancing or terminal-sale proceeds fund liquidity. Affordable EV is the minimum close and annual reserve-derived price bound at the selected committed debt and equity amounts.</x:v>
      </x:c>
      <x:c r="E14" s="6"/>
      <x:c r="F14" s="6"/>
      <x:c r="G14" s="6"/>
      <x:c r="H14" s="6"/>
      <x:c r="I14" s="6"/>
      <x:c r="J14" s="2"/>
      <x:c r="K14" s="2"/>
      <x:c r="L14" s="2"/>
      <x:c r="M14" s="2"/>
    </x:row>
    <x:row r="15" ht="82" customHeight="1">
      <x:c r="A15" s="2"/>
      <x:c r="B15" s="2"/>
      <x:c r="C15" s="16" t="str">
        <x:v>Proposed financing</x:v>
      </x:c>
      <x:c r="D15" s="41" t="str">
        <x:v>At each date, the price bound equals available buyer cash plus selected debt and equity, less close fees and investment, plus cumulative operating cash after all debt service. The minimum across close and Years 1–5 is affordable EV. The actual proposed-price cash roll-forward retains residual buyer cash. Changing the selected financing changes the bound; this is not global debt optimization.</x:v>
      </x:c>
      <x:c r="E15" s="6"/>
      <x:c r="F15" s="6"/>
      <x:c r="G15" s="6"/>
      <x:c r="H15" s="6"/>
      <x:c r="I15" s="6"/>
      <x:c r="J15" s="2"/>
      <x:c r="K15" s="2"/>
      <x:c r="L15" s="2"/>
      <x:c r="M15" s="2"/>
    </x:row>
    <x:row r="16" ht="82" customHeight="1">
      <x:c r="A16" s="2"/>
      <x:c r="B16" s="2"/>
      <x:c r="C16" s="16" t="str">
        <x:v>Equity ownership</x:v>
      </x:c>
      <x:c r="D16" s="41" t="str">
        <x:v>Common equity dilution = new gross proceeds / (pre-issue buyer equity value + new gross proceeds). Fees are paid separately at close. Zero equity does not require a pre-issue value. This is ownership dilution, not EPS dilution.</x:v>
      </x:c>
      <x:c r="E16" s="6"/>
      <x:c r="F16" s="6"/>
      <x:c r="G16" s="6"/>
      <x:c r="H16" s="6"/>
      <x:c r="I16" s="6"/>
      <x:c r="J16" s="2"/>
      <x:c r="K16" s="2"/>
      <x:c r="L16" s="2"/>
      <x:c r="M16" s="2"/>
    </x:row>
    <x:row r="17" ht="82" customHeight="1">
      <x:c r="A17" s="2"/>
      <x:c r="B17" s="2"/>
      <x:c r="C17" s="16" t="str">
        <x:v>Return-supported price</x:v>
      </x:c>
      <x:c r="D17" s="41" t="str">
        <x:v>Standalone ceiling = PV of standalone cash and terminal EV less fees and initial investment. Add the allowed share of each positive annual synergy cash flow and the full PV of each negative annual flow. Terminal EV is Year 5 standalone EBITDA, floored at zero, times the selected exit multiple. Discount year-end cash at the annual unlevered hurdle.</x:v>
      </x:c>
      <x:c r="E17" s="6"/>
      <x:c r="F17" s="6"/>
      <x:c r="G17" s="6"/>
      <x:c r="H17" s="6"/>
      <x:c r="I17" s="6"/>
      <x:c r="J17" s="2"/>
      <x:c r="K17" s="2"/>
      <x:c r="L17" s="2"/>
      <x:c r="M17" s="2"/>
    </x:row>
    <x:row r="18" ht="82" customHeight="1">
      <x:c r="A18" s="2"/>
      <x:c r="B18" s="2"/>
      <x:c r="C18" s="16" t="str">
        <x:v>Opportunity cost</x:v>
      </x:c>
      <x:c r="D18" s="41" t="str">
        <x:v>Use comparable, mutually exclusive choices with the same budget, horizon, hurdle and baseline. Confirm feasibility and timing for each. The maximum positive feasible nonbuy NPV is deducted from the acquisition return-supported price only after comparability is confirmed. The zero floor preserves the option to retain capital.</x:v>
      </x:c>
      <x:c r="E18" s="6"/>
      <x:c r="F18" s="6"/>
      <x:c r="G18" s="6"/>
      <x:c r="H18" s="6"/>
      <x:c r="I18" s="6"/>
      <x:c r="J18" s="2"/>
      <x:c r="K18" s="2"/>
      <x:c r="L18" s="2"/>
      <x:c r="M18" s="2"/>
    </x:row>
    <x:row r="19" ht="82" customHeight="1">
      <x:c r="A19" s="2"/>
      <x:c r="B19" s="2"/>
      <x:c r="C19" s="16" t="str">
        <x:v>Hard walk-away</x:v>
      </x:c>
      <x:c r="D19" s="41" t="str">
        <x:v>The minimum of affordable EV, opportunity-adjusted return-supported EV and strategic EV ceiling is the active-case ceiling. The hard walk-away appears only in Downside after owner, Verified evidence, approval record, confirmed required outcome and financing conditions. Nonpositive ceilings do not authorize a positive purchase price.</x:v>
      </x:c>
      <x:c r="E19" s="6"/>
      <x:c r="F19" s="6"/>
      <x:c r="G19" s="6"/>
      <x:c r="H19" s="6"/>
      <x:c r="I19" s="6"/>
      <x:c r="J19" s="2"/>
      <x:c r="K19" s="2"/>
      <x:c r="L19" s="2"/>
      <x:c r="M19" s="2"/>
    </x:row>
    <x:row r="20" ht="82" customHeight="1">
      <x:c r="A20" s="2"/>
      <x:c r="B20" s="2"/>
      <x:c r="C20" s="16" t="str">
        <x:v>IRR and payback</x:v>
      </x:c>
      <x:c r="D20" s="41" t="str">
        <x:v>Unlevered project IRR includes close EV, fees and investment, annual economic cash flow, and the Year 5 terminal sale. It displays n.a. for missing inputs, a nonnegative initial flow or negative future total flows. Operating payback is the first whole year cumulative operating cash recovers the initial outlay; terminal sale is excluded.</x:v>
      </x:c>
      <x:c r="E20" s="6"/>
      <x:c r="F20" s="6"/>
      <x:c r="G20" s="6"/>
      <x:c r="H20" s="6"/>
      <x:c r="I20" s="6"/>
      <x:c r="J20" s="2"/>
      <x:c r="K20" s="2"/>
      <x:c r="L20" s="2"/>
      <x:c r="M20" s="2"/>
    </x:row>
    <x:row r="21" ht="82" customHeight="1">
      <x:c r="A21" s="2"/>
      <x:c r="B21" s="2"/>
      <x:c r="C21" s="16" t="str">
        <x:v>ROIC</x:v>
      </x:c>
      <x:c r="D21" s="41" t="str">
        <x:v>Year 1 standalone ROIC = Year 1 standalone NOPAT / (enterprise value + close investment + Year 1 follow-on investment). This acquisition-cost proxy excludes fees and buyer synergies and does not represent purchase-accounting invested capital or a mature run rate.</x:v>
      </x:c>
      <x:c r="E21" s="6"/>
      <x:c r="F21" s="6"/>
      <x:c r="G21" s="6"/>
      <x:c r="H21" s="6"/>
      <x:c r="I21" s="6"/>
      <x:c r="J21" s="2"/>
      <x:c r="K21" s="2"/>
      <x:c r="L21" s="2"/>
      <x:c r="M21" s="2"/>
    </x:row>
    <x:row r="22" ht="82" customHeight="1">
      <x:c r="A22" s="2"/>
      <x:c r="B22" s="2"/>
      <x:c r="C22" s="16" t="str">
        <x:v>Evidence and revisions</x:v>
      </x:c>
      <x:c r="D22" s="41" t="str">
        <x:v>All populated examples are Assumption. Replace them and record the decision owner, evidence / approval record and required outcome. Re-review financing commitments, alternative feasibility and the Verified label whenever material assumptions change. Labels do not update themselves.</x:v>
      </x:c>
      <x:c r="E22" s="6"/>
      <x:c r="F22" s="6"/>
      <x:c r="G22" s="6"/>
      <x:c r="H22" s="6"/>
      <x:c r="I22" s="6"/>
      <x:c r="J22" s="2"/>
      <x:c r="K22" s="2"/>
      <x:c r="L22" s="2"/>
      <x:c r="M22" s="2"/>
    </x:row>
    <x:row r="23" ht="82" customHeight="1">
      <x:c r="A23" s="2"/>
      <x:c r="B23" s="2"/>
      <x:c r="C23" s="16" t="str">
        <x:v>Limits that change the decision</x:v>
      </x:c>
      <x:c r="D23" s="41" t="str">
        <x:v>Annual cash tests can miss an intra-year shortage. Model actual monthly liquidity, debt documents, fees, taxes and seller equity adjustments before execution. Rates are fixed, new debt matures in Year 5 and only common equity is modeled. This is a first-pass allocation and affordability tool, not a full deal model.</x:v>
      </x:c>
      <x:c r="E23" s="6"/>
      <x:c r="F23" s="6"/>
      <x:c r="G23" s="6"/>
      <x:c r="H23" s="6"/>
      <x:c r="I23" s="6"/>
      <x:c r="J23" s="2"/>
      <x:c r="K23" s="2"/>
      <x:c r="L23" s="2"/>
      <x:c r="M23" s="2"/>
    </x:row>
    <x:row r="24" ht="25" customHeight="1">
      <x:c r="A24" s="2"/>
      <x:c r="B24" s="2"/>
      <x:c r="C24" s="2"/>
      <x:c r="D24" s="6"/>
      <x:c r="E24" s="6"/>
      <x:c r="F24" s="6"/>
      <x:c r="G24" s="6"/>
      <x:c r="H24" s="6"/>
      <x:c r="I24" s="6"/>
      <x:c r="J24" s="2"/>
      <x:c r="K24" s="2"/>
      <x:c r="L24" s="2"/>
      <x:c r="M24" s="2"/>
    </x:row>
    <x:row r="25" ht="25" customHeight="1">
      <x:c r="A25" s="2"/>
      <x:c r="B25" s="2"/>
      <x:c r="C25" s="2"/>
      <x:c r="D25" s="6"/>
      <x:c r="E25" s="6"/>
      <x:c r="F25" s="6"/>
      <x:c r="G25" s="6"/>
      <x:c r="H25" s="6"/>
      <x:c r="I25" s="6"/>
      <x:c r="J25" s="2"/>
      <x:c r="K25" s="2"/>
      <x:c r="L25" s="2"/>
      <x:c r="M25" s="2"/>
    </x:row>
    <x:row r="26" ht="25" customHeight="1">
      <x:c r="A26" s="2"/>
      <x:c r="B26" s="2"/>
      <x:c r="C26" s="2"/>
      <x:c r="D26" s="6"/>
      <x:c r="E26" s="6"/>
      <x:c r="F26" s="6"/>
      <x:c r="G26" s="6"/>
      <x:c r="H26" s="6"/>
      <x:c r="I26" s="6"/>
      <x:c r="J26" s="2"/>
      <x:c r="K26" s="2"/>
      <x:c r="L26" s="2"/>
      <x:c r="M26" s="2"/>
    </x:row>
    <x:row r="27" ht="25" customHeight="1">
      <x:c r="A27" s="2"/>
      <x:c r="B27" s="2"/>
      <x:c r="C27" s="2"/>
      <x:c r="D27" s="6"/>
      <x:c r="E27" s="6"/>
      <x:c r="F27" s="6"/>
      <x:c r="G27" s="6"/>
      <x:c r="H27" s="6"/>
      <x:c r="I27" s="6"/>
      <x:c r="J27" s="2"/>
      <x:c r="K27" s="2"/>
      <x:c r="L27" s="2"/>
      <x:c r="M27" s="2"/>
    </x:row>
    <x:row r="28" ht="25" customHeight="1">
      <x:c r="A28" s="2"/>
      <x:c r="B28" s="2"/>
      <x:c r="C28" s="2"/>
      <x:c r="D28" s="6"/>
      <x:c r="E28" s="6"/>
      <x:c r="F28" s="6"/>
      <x:c r="G28" s="6"/>
      <x:c r="H28" s="6"/>
      <x:c r="I28" s="6"/>
      <x:c r="J28" s="2"/>
      <x:c r="K28" s="2"/>
      <x:c r="L28" s="2"/>
      <x:c r="M28" s="2"/>
    </x:row>
    <x:row r="29" ht="25" customHeight="1">
      <x:c r="A29" s="2"/>
      <x:c r="B29" s="2"/>
      <x:c r="C29" s="2"/>
      <x:c r="D29" s="6"/>
      <x:c r="E29" s="6"/>
      <x:c r="F29" s="6"/>
      <x:c r="G29" s="6"/>
      <x:c r="H29" s="6"/>
      <x:c r="I29" s="6"/>
      <x:c r="J29" s="2"/>
      <x:c r="K29" s="2"/>
      <x:c r="L29" s="2"/>
      <x:c r="M29" s="2"/>
    </x:row>
    <x:row r="30" ht="25" customHeight="1">
      <x:c r="A30" s="2"/>
      <x:c r="B30" s="2"/>
      <x:c r="C30" s="2"/>
      <x:c r="D30" s="6"/>
      <x:c r="E30" s="6"/>
      <x:c r="F30" s="6"/>
      <x:c r="G30" s="6"/>
      <x:c r="H30" s="6"/>
      <x:c r="I30" s="6"/>
      <x:c r="J30" s="2"/>
      <x:c r="K30" s="2"/>
      <x:c r="L30" s="2"/>
      <x:c r="M30" s="2"/>
    </x:row>
    <x:row r="31" ht="25" customHeight="1">
      <x:c r="A31" s="2"/>
      <x:c r="B31" s="2"/>
      <x:c r="C31" s="2"/>
      <x:c r="D31" s="6"/>
      <x:c r="E31" s="6"/>
      <x:c r="F31" s="6"/>
      <x:c r="G31" s="6"/>
      <x:c r="H31" s="6"/>
      <x:c r="I31" s="6"/>
      <x:c r="J31" s="2"/>
      <x:c r="K31" s="2"/>
      <x:c r="L31" s="2"/>
      <x:c r="M31" s="2"/>
    </x:row>
    <x:row r="32" ht="25" customHeight="1">
      <x:c r="A32" s="2"/>
      <x:c r="B32" s="2"/>
      <x:c r="C32" s="2"/>
      <x:c r="D32" s="6"/>
      <x:c r="E32" s="6"/>
      <x:c r="F32" s="6"/>
      <x:c r="G32" s="6"/>
      <x:c r="H32" s="6"/>
      <x:c r="I32" s="6"/>
      <x:c r="J32" s="2"/>
      <x:c r="K32" s="2"/>
      <x:c r="L32" s="2"/>
      <x:c r="M32" s="2"/>
    </x:row>
    <x:row r="33" ht="25" customHeight="1">
      <x:c r="A33" s="2"/>
      <x:c r="B33" s="2"/>
      <x:c r="C33" s="2"/>
      <x:c r="D33" s="6"/>
      <x:c r="E33" s="6"/>
      <x:c r="F33" s="6"/>
      <x:c r="G33" s="6"/>
      <x:c r="H33" s="6"/>
      <x:c r="I33" s="6"/>
      <x:c r="J33" s="2"/>
      <x:c r="K33" s="2"/>
      <x:c r="L33" s="2"/>
      <x:c r="M33" s="2"/>
    </x:row>
    <x:row r="34" ht="25" customHeight="1">
      <x:c r="A34" s="2"/>
      <x:c r="B34" s="2"/>
      <x:c r="C34" s="2"/>
      <x:c r="D34" s="6"/>
      <x:c r="E34" s="6"/>
      <x:c r="F34" s="6"/>
      <x:c r="G34" s="6"/>
      <x:c r="H34" s="6"/>
      <x:c r="I34" s="6"/>
      <x:c r="J34" s="2"/>
      <x:c r="K34" s="2"/>
      <x:c r="L34" s="2"/>
      <x:c r="M34" s="2"/>
    </x:row>
    <x:row r="35" ht="25" customHeight="1">
      <x:c r="A35" s="2"/>
      <x:c r="B35" s="2"/>
      <x:c r="C35" s="2"/>
      <x:c r="D35" s="6"/>
      <x:c r="E35" s="6"/>
      <x:c r="F35" s="6"/>
      <x:c r="G35" s="6"/>
      <x:c r="H35" s="6"/>
      <x:c r="I35" s="6"/>
      <x:c r="J35" s="2"/>
      <x:c r="K35" s="2"/>
      <x:c r="L35" s="2"/>
      <x:c r="M35" s="2"/>
    </x:row>
    <x:row r="36" ht="25" customHeight="1">
      <x:c r="A36" s="2"/>
      <x:c r="B36" s="2"/>
      <x:c r="C36" s="2"/>
      <x:c r="D36" s="6"/>
      <x:c r="E36" s="6"/>
      <x:c r="F36" s="6"/>
      <x:c r="G36" s="6"/>
      <x:c r="H36" s="6"/>
      <x:c r="I36" s="6"/>
      <x:c r="J36" s="2"/>
      <x:c r="K36" s="2"/>
      <x:c r="L36" s="2"/>
      <x:c r="M36" s="2"/>
    </x:row>
    <x:row r="37" ht="25" customHeight="1">
      <x:c r="A37" s="2"/>
      <x:c r="B37" s="2"/>
      <x:c r="C37" s="2"/>
      <x:c r="D37" s="6"/>
      <x:c r="E37" s="6"/>
      <x:c r="F37" s="6"/>
      <x:c r="G37" s="6"/>
      <x:c r="H37" s="6"/>
      <x:c r="I37" s="6"/>
      <x:c r="J37" s="2"/>
      <x:c r="K37" s="2"/>
      <x:c r="L37" s="2"/>
      <x:c r="M37" s="2"/>
    </x:row>
    <x:row r="38" ht="25" customHeight="1">
      <x:c r="A38" s="2"/>
      <x:c r="B38" s="2"/>
      <x:c r="C38" s="2"/>
      <x:c r="D38" s="6"/>
      <x:c r="E38" s="6"/>
      <x:c r="F38" s="6"/>
      <x:c r="G38" s="6"/>
      <x:c r="H38" s="6"/>
      <x:c r="I38" s="6"/>
      <x:c r="J38" s="2"/>
      <x:c r="K38" s="2"/>
      <x:c r="L38" s="2"/>
      <x:c r="M38" s="2"/>
    </x:row>
    <x:row r="39" ht="25" customHeight="1">
      <x:c r="A39" s="2"/>
      <x:c r="B39" s="2"/>
      <x:c r="C39" s="2"/>
      <x:c r="D39" s="6"/>
      <x:c r="E39" s="6"/>
      <x:c r="F39" s="6"/>
      <x:c r="G39" s="6"/>
      <x:c r="H39" s="6"/>
      <x:c r="I39" s="6"/>
      <x:c r="J39" s="2"/>
      <x:c r="K39" s="2"/>
      <x:c r="L39" s="2"/>
      <x:c r="M39" s="2"/>
    </x:row>
    <x:row r="40" ht="25" customHeight="1">
      <x:c r="A40" s="2"/>
      <x:c r="B40" s="2"/>
      <x:c r="C40" s="2"/>
      <x:c r="D40" s="6"/>
      <x:c r="E40" s="6"/>
      <x:c r="F40" s="6"/>
      <x:c r="G40" s="6"/>
      <x:c r="H40" s="6"/>
      <x:c r="I40" s="6"/>
      <x:c r="J40" s="2"/>
      <x:c r="K40" s="2"/>
      <x:c r="L40" s="2"/>
      <x:c r="M40" s="2"/>
    </x:row>
    <x:row r="41" ht="25" customHeight="1">
      <x:c r="A41" s="2"/>
      <x:c r="B41" s="2"/>
      <x:c r="C41" s="2"/>
      <x:c r="D41" s="6"/>
      <x:c r="E41" s="6"/>
      <x:c r="F41" s="6"/>
      <x:c r="G41" s="6"/>
      <x:c r="H41" s="6"/>
      <x:c r="I41" s="6"/>
      <x:c r="J41" s="2"/>
      <x:c r="K41" s="2"/>
      <x:c r="L41" s="2"/>
      <x:c r="M41" s="2"/>
    </x:row>
    <x:row r="42" ht="25" customHeight="1">
      <x:c r="A42" s="2"/>
      <x:c r="B42" s="2"/>
      <x:c r="C42" s="2"/>
      <x:c r="D42" s="6"/>
      <x:c r="E42" s="6"/>
      <x:c r="F42" s="6"/>
      <x:c r="G42" s="6"/>
      <x:c r="H42" s="6"/>
      <x:c r="I42" s="6"/>
      <x:c r="J42" s="2"/>
      <x:c r="K42" s="2"/>
      <x:c r="L42" s="2"/>
      <x:c r="M42" s="2"/>
    </x:row>
    <x:row r="43" ht="25" customHeight="1">
      <x:c r="A43" s="2"/>
      <x:c r="B43" s="2"/>
      <x:c r="C43" s="2"/>
      <x:c r="D43" s="6"/>
      <x:c r="E43" s="6"/>
      <x:c r="F43" s="6"/>
      <x:c r="G43" s="6"/>
      <x:c r="H43" s="6"/>
      <x:c r="I43" s="6"/>
      <x:c r="J43" s="2"/>
      <x:c r="K43" s="2"/>
      <x:c r="L43" s="2"/>
      <x:c r="M43" s="2"/>
    </x:row>
    <x:row r="44" ht="25" customHeight="1">
      <x:c r="A44" s="2"/>
      <x:c r="B44" s="2"/>
      <x:c r="C44" s="2"/>
      <x:c r="D44" s="6"/>
      <x:c r="E44" s="6"/>
      <x:c r="F44" s="6"/>
      <x:c r="G44" s="6"/>
      <x:c r="H44" s="6"/>
      <x:c r="I44" s="6"/>
      <x:c r="J44" s="2"/>
      <x:c r="K44" s="2"/>
      <x:c r="L44" s="2"/>
      <x:c r="M44" s="2"/>
    </x:row>
    <x:row r="45" ht="25" customHeight="1">
      <x:c r="A45" s="2"/>
      <x:c r="B45" s="2"/>
      <x:c r="C45" s="2"/>
      <x:c r="D45" s="6"/>
      <x:c r="E45" s="6"/>
      <x:c r="F45" s="6"/>
      <x:c r="G45" s="6"/>
      <x:c r="H45" s="6"/>
      <x:c r="I45" s="6"/>
      <x:c r="J45" s="2"/>
      <x:c r="K45" s="2"/>
      <x:c r="L45" s="2"/>
      <x:c r="M45" s="2"/>
    </x:row>
    <x:row r="46" ht="25" customHeight="1">
      <x:c r="A46" s="2"/>
      <x:c r="B46" s="2"/>
      <x:c r="C46" s="2"/>
      <x:c r="D46" s="6"/>
      <x:c r="E46" s="6"/>
      <x:c r="F46" s="6"/>
      <x:c r="G46" s="6"/>
      <x:c r="H46" s="6"/>
      <x:c r="I46" s="6"/>
      <x:c r="J46" s="2"/>
      <x:c r="K46" s="2"/>
      <x:c r="L46" s="2"/>
      <x:c r="M46" s="2"/>
    </x:row>
    <x:row r="47" ht="25" customHeight="1">
      <x:c r="A47" s="2"/>
      <x:c r="B47" s="2"/>
      <x:c r="C47" s="2"/>
      <x:c r="D47" s="6"/>
      <x:c r="E47" s="6"/>
      <x:c r="F47" s="6"/>
      <x:c r="G47" s="6"/>
      <x:c r="H47" s="6"/>
      <x:c r="I47" s="6"/>
      <x:c r="J47" s="2"/>
      <x:c r="K47" s="2"/>
      <x:c r="L47" s="2"/>
      <x:c r="M47" s="2"/>
    </x:row>
    <x:row r="48" ht="25" customHeight="1">
      <x:c r="A48" s="2"/>
      <x:c r="B48" s="2"/>
      <x:c r="C48" s="2"/>
      <x:c r="D48" s="6"/>
      <x:c r="E48" s="6"/>
      <x:c r="F48" s="6"/>
      <x:c r="G48" s="6"/>
      <x:c r="H48" s="6"/>
      <x:c r="I48" s="6"/>
      <x:c r="J48" s="2"/>
      <x:c r="K48" s="2"/>
      <x:c r="L48" s="2"/>
      <x:c r="M48" s="2"/>
    </x:row>
    <x:row r="49" ht="25" customHeight="1">
      <x:c r="A49" s="2"/>
      <x:c r="B49" s="2"/>
      <x:c r="C49" s="2"/>
      <x:c r="D49" s="6"/>
      <x:c r="E49" s="6"/>
      <x:c r="F49" s="6"/>
      <x:c r="G49" s="6"/>
      <x:c r="H49" s="6"/>
      <x:c r="I49" s="6"/>
      <x:c r="J49" s="2"/>
      <x:c r="K49" s="2"/>
      <x:c r="L49" s="2"/>
      <x:c r="M49" s="2"/>
    </x:row>
    <x:row r="50" ht="25" customHeight="1">
      <x:c r="A50" s="2"/>
      <x:c r="B50" s="2"/>
      <x:c r="C50" s="2"/>
      <x:c r="D50" s="6"/>
      <x:c r="E50" s="6"/>
      <x:c r="F50" s="6"/>
      <x:c r="G50" s="6"/>
      <x:c r="H50" s="6"/>
      <x:c r="I50" s="6"/>
      <x:c r="J50" s="2"/>
      <x:c r="K50" s="2"/>
      <x:c r="L50" s="2"/>
      <x:c r="M50" s="2"/>
    </x:row>
    <x:row r="51" ht="25" customHeight="1">
      <x:c r="A51" s="2"/>
      <x:c r="B51" s="2"/>
      <x:c r="C51" s="2"/>
      <x:c r="D51" s="6"/>
      <x:c r="E51" s="6"/>
      <x:c r="F51" s="6"/>
      <x:c r="G51" s="6"/>
      <x:c r="H51" s="6"/>
      <x:c r="I51" s="6"/>
      <x:c r="J51" s="2"/>
      <x:c r="K51" s="2"/>
      <x:c r="L51" s="2"/>
      <x:c r="M51" s="2"/>
    </x:row>
    <x:row r="52" ht="25" customHeight="1">
      <x:c r="A52" s="2"/>
      <x:c r="B52" s="2"/>
      <x:c r="C52" s="2"/>
      <x:c r="D52" s="6"/>
      <x:c r="E52" s="6"/>
      <x:c r="F52" s="6"/>
      <x:c r="G52" s="6"/>
      <x:c r="H52" s="6"/>
      <x:c r="I52" s="6"/>
      <x:c r="J52" s="2"/>
      <x:c r="K52" s="2"/>
      <x:c r="L52" s="2"/>
      <x:c r="M52" s="2"/>
    </x:row>
    <x:row r="53" ht="25" customHeight="1">
      <x:c r="A53" s="2"/>
      <x:c r="B53" s="2"/>
      <x:c r="C53" s="2"/>
      <x:c r="D53" s="6"/>
      <x:c r="E53" s="6"/>
      <x:c r="F53" s="6"/>
      <x:c r="G53" s="6"/>
      <x:c r="H53" s="6"/>
      <x:c r="I53" s="6"/>
      <x:c r="J53" s="2"/>
      <x:c r="K53" s="2"/>
      <x:c r="L53" s="2"/>
      <x:c r="M53" s="2"/>
    </x:row>
    <x:row r="54" ht="25" customHeight="1">
      <x:c r="A54" s="2"/>
      <x:c r="B54" s="2"/>
      <x:c r="C54" s="2"/>
      <x:c r="D54" s="6"/>
      <x:c r="E54" s="6"/>
      <x:c r="F54" s="6"/>
      <x:c r="G54" s="6"/>
      <x:c r="H54" s="6"/>
      <x:c r="I54" s="6"/>
      <x:c r="J54" s="2"/>
      <x:c r="K54" s="2"/>
      <x:c r="L54" s="2"/>
      <x:c r="M54" s="2"/>
    </x:row>
    <x:row r="55" ht="25" customHeight="1">
      <x:c r="A55" s="2"/>
      <x:c r="B55" s="2"/>
      <x:c r="C55" s="2"/>
      <x:c r="D55" s="6"/>
      <x:c r="E55" s="6"/>
      <x:c r="F55" s="6"/>
      <x:c r="G55" s="6"/>
      <x:c r="H55" s="6"/>
      <x:c r="I55" s="6"/>
      <x:c r="J55" s="2"/>
      <x:c r="K55" s="2"/>
      <x:c r="L55" s="2"/>
      <x:c r="M55" s="2"/>
    </x:row>
    <x:row r="56" ht="25" customHeight="1">
      <x:c r="A56" s="2"/>
      <x:c r="B56" s="2"/>
      <x:c r="C56" s="2"/>
      <x:c r="D56" s="6"/>
      <x:c r="E56" s="6"/>
      <x:c r="F56" s="6"/>
      <x:c r="G56" s="6"/>
      <x:c r="H56" s="6"/>
      <x:c r="I56" s="6"/>
      <x:c r="J56" s="2"/>
      <x:c r="K56" s="2"/>
      <x:c r="L56" s="2"/>
      <x:c r="M56" s="2"/>
    </x:row>
    <x:row r="57" ht="25" customHeight="1">
      <x:c r="A57" s="2"/>
      <x:c r="B57" s="2"/>
      <x:c r="C57" s="2"/>
      <x:c r="D57" s="6"/>
      <x:c r="E57" s="6"/>
      <x:c r="F57" s="6"/>
      <x:c r="G57" s="6"/>
      <x:c r="H57" s="6"/>
      <x:c r="I57" s="6"/>
      <x:c r="J57" s="2"/>
      <x:c r="K57" s="2"/>
      <x:c r="L57" s="2"/>
      <x:c r="M57" s="2"/>
    </x:row>
    <x:row r="58" ht="25" customHeight="1">
      <x:c r="A58" s="2"/>
      <x:c r="B58" s="2"/>
      <x:c r="C58" s="2"/>
      <x:c r="D58" s="6"/>
      <x:c r="E58" s="6"/>
      <x:c r="F58" s="6"/>
      <x:c r="G58" s="6"/>
      <x:c r="H58" s="6"/>
      <x:c r="I58" s="6"/>
      <x:c r="J58" s="2"/>
      <x:c r="K58" s="2"/>
      <x:c r="L58" s="2"/>
      <x:c r="M58" s="2"/>
    </x:row>
    <x:row r="59" ht="25" customHeight="1">
      <x:c r="A59" s="2"/>
      <x:c r="B59" s="2"/>
      <x:c r="C59" s="2"/>
      <x:c r="D59" s="6"/>
      <x:c r="E59" s="6"/>
      <x:c r="F59" s="6"/>
      <x:c r="G59" s="6"/>
      <x:c r="H59" s="6"/>
      <x:c r="I59" s="6"/>
      <x:c r="J59" s="2"/>
      <x:c r="K59" s="2"/>
      <x:c r="L59" s="2"/>
      <x:c r="M59" s="2"/>
    </x:row>
    <x:row r="60" ht="25" customHeight="1">
      <x:c r="A60" s="2"/>
      <x:c r="B60" s="2"/>
      <x:c r="C60" s="2"/>
      <x:c r="D60" s="6"/>
      <x:c r="E60" s="6"/>
      <x:c r="F60" s="6"/>
      <x:c r="G60" s="6"/>
      <x:c r="H60" s="6"/>
      <x:c r="I60" s="6"/>
      <x:c r="J60" s="2"/>
      <x:c r="K60" s="2"/>
      <x:c r="L60" s="2"/>
      <x:c r="M60" s="2"/>
    </x:row>
    <x:row r="61" ht="25" customHeight="1">
      <x:c r="A61" s="2"/>
      <x:c r="B61" s="2"/>
      <x:c r="C61" s="2"/>
      <x:c r="D61" s="6"/>
      <x:c r="E61" s="6"/>
      <x:c r="F61" s="6"/>
      <x:c r="G61" s="6"/>
      <x:c r="H61" s="6"/>
      <x:c r="I61" s="6"/>
      <x:c r="J61" s="2"/>
      <x:c r="K61" s="2"/>
      <x:c r="L61" s="2"/>
      <x:c r="M61" s="2"/>
    </x:row>
    <x:row r="62" ht="25" customHeight="1">
      <x:c r="A62" s="2"/>
      <x:c r="B62" s="2"/>
      <x:c r="C62" s="2"/>
      <x:c r="D62" s="6"/>
      <x:c r="E62" s="6"/>
      <x:c r="F62" s="6"/>
      <x:c r="G62" s="6"/>
      <x:c r="H62" s="6"/>
      <x:c r="I62" s="6"/>
      <x:c r="J62" s="2"/>
      <x:c r="K62" s="2"/>
      <x:c r="L62" s="2"/>
      <x:c r="M62" s="2"/>
    </x:row>
    <x:row r="63" ht="25" customHeight="1">
      <x:c r="A63" s="2"/>
      <x:c r="B63" s="2"/>
      <x:c r="C63" s="2"/>
      <x:c r="D63" s="6"/>
      <x:c r="E63" s="6"/>
      <x:c r="F63" s="6"/>
      <x:c r="G63" s="6"/>
      <x:c r="H63" s="6"/>
      <x:c r="I63" s="6"/>
      <x:c r="J63" s="2"/>
      <x:c r="K63" s="2"/>
      <x:c r="L63" s="2"/>
      <x:c r="M63" s="2"/>
    </x:row>
    <x:row r="64" ht="25" customHeight="1">
      <x:c r="A64" s="2"/>
      <x:c r="B64" s="2"/>
      <x:c r="C64" s="2"/>
      <x:c r="D64" s="6"/>
      <x:c r="E64" s="6"/>
      <x:c r="F64" s="6"/>
      <x:c r="G64" s="6"/>
      <x:c r="H64" s="6"/>
      <x:c r="I64" s="6"/>
      <x:c r="J64" s="2"/>
      <x:c r="K64" s="2"/>
      <x:c r="L64" s="2"/>
      <x:c r="M64" s="2"/>
    </x:row>
    <x:row r="65" ht="25" customHeight="1">
      <x:c r="A65" s="2"/>
      <x:c r="B65" s="2"/>
      <x:c r="C65" s="2"/>
      <x:c r="D65" s="6"/>
      <x:c r="E65" s="6"/>
      <x:c r="F65" s="6"/>
      <x:c r="G65" s="6"/>
      <x:c r="H65" s="6"/>
      <x:c r="I65" s="6"/>
      <x:c r="J65" s="2"/>
      <x:c r="K65" s="2"/>
      <x:c r="L65" s="2"/>
      <x:c r="M65" s="2"/>
    </x:row>
    <x:row r="66" ht="25" customHeight="1">
      <x:c r="A66" s="2"/>
      <x:c r="B66" s="2"/>
      <x:c r="C66" s="2"/>
      <x:c r="D66" s="6"/>
      <x:c r="E66" s="6"/>
      <x:c r="F66" s="6"/>
      <x:c r="G66" s="6"/>
      <x:c r="H66" s="6"/>
      <x:c r="I66" s="6"/>
      <x:c r="J66" s="2"/>
      <x:c r="K66" s="2"/>
      <x:c r="L66" s="2"/>
      <x:c r="M66" s="2"/>
    </x:row>
    <x:row r="67" ht="25" customHeight="1">
      <x:c r="A67" s="2"/>
      <x:c r="B67" s="2"/>
      <x:c r="C67" s="2"/>
      <x:c r="D67" s="6"/>
      <x:c r="E67" s="6"/>
      <x:c r="F67" s="6"/>
      <x:c r="G67" s="6"/>
      <x:c r="H67" s="6"/>
      <x:c r="I67" s="6"/>
      <x:c r="J67" s="2"/>
      <x:c r="K67" s="2"/>
      <x:c r="L67" s="2"/>
      <x:c r="M67" s="2"/>
    </x:row>
    <x:row r="68" ht="25" customHeight="1">
      <x:c r="A68" s="2"/>
      <x:c r="B68" s="2"/>
      <x:c r="C68" s="2"/>
      <x:c r="D68" s="6"/>
      <x:c r="E68" s="6"/>
      <x:c r="F68" s="6"/>
      <x:c r="G68" s="6"/>
      <x:c r="H68" s="6"/>
      <x:c r="I68" s="6"/>
      <x:c r="J68" s="2"/>
      <x:c r="K68" s="2"/>
      <x:c r="L68" s="2"/>
      <x:c r="M68" s="2"/>
    </x:row>
    <x:row r="69" ht="25" customHeight="1">
      <x:c r="A69" s="2"/>
      <x:c r="B69" s="2"/>
      <x:c r="C69" s="2"/>
      <x:c r="D69" s="6"/>
      <x:c r="E69" s="6"/>
      <x:c r="F69" s="6"/>
      <x:c r="G69" s="6"/>
      <x:c r="H69" s="6"/>
      <x:c r="I69" s="6"/>
      <x:c r="J69" s="2"/>
      <x:c r="K69" s="2"/>
      <x:c r="L69" s="2"/>
      <x:c r="M69" s="2"/>
    </x:row>
    <x:row r="70" ht="25" customHeight="1">
      <x:c r="A70" s="2"/>
      <x:c r="B70" s="2"/>
      <x:c r="C70" s="2"/>
      <x:c r="D70" s="6"/>
      <x:c r="E70" s="6"/>
      <x:c r="F70" s="6"/>
      <x:c r="G70" s="6"/>
      <x:c r="H70" s="6"/>
      <x:c r="I70" s="6"/>
      <x:c r="J70" s="2"/>
      <x:c r="K70" s="2"/>
      <x:c r="L70" s="2"/>
      <x:c r="M70" s="2"/>
    </x:row>
    <x:row r="71" ht="25" customHeight="1">
      <x:c r="A71" s="2"/>
      <x:c r="B71" s="2"/>
      <x:c r="C71" s="2"/>
      <x:c r="D71" s="6"/>
      <x:c r="E71" s="6"/>
      <x:c r="F71" s="6"/>
      <x:c r="G71" s="6"/>
      <x:c r="H71" s="6"/>
      <x:c r="I71" s="6"/>
      <x:c r="J71" s="2"/>
      <x:c r="K71" s="2"/>
      <x:c r="L71" s="2"/>
      <x:c r="M71" s="2"/>
    </x:row>
    <x:row r="72" ht="25" customHeight="1">
      <x:c r="A72" s="2"/>
      <x:c r="B72" s="2"/>
      <x:c r="C72" s="2"/>
      <x:c r="D72" s="6"/>
      <x:c r="E72" s="6"/>
      <x:c r="F72" s="6"/>
      <x:c r="G72" s="6"/>
      <x:c r="H72" s="6"/>
      <x:c r="I72" s="6"/>
      <x:c r="J72" s="2"/>
      <x:c r="K72" s="2"/>
      <x:c r="L72" s="2"/>
      <x:c r="M72" s="2"/>
    </x:row>
    <x:row r="73" ht="25" customHeight="1">
      <x:c r="A73" s="2"/>
      <x:c r="B73" s="2"/>
      <x:c r="C73" s="2"/>
      <x:c r="D73" s="6"/>
      <x:c r="E73" s="6"/>
      <x:c r="F73" s="6"/>
      <x:c r="G73" s="6"/>
      <x:c r="H73" s="6"/>
      <x:c r="I73" s="6"/>
      <x:c r="J73" s="2"/>
      <x:c r="K73" s="2"/>
      <x:c r="L73" s="2"/>
      <x:c r="M73" s="2"/>
    </x:row>
    <x:row r="74" ht="25" customHeight="1">
      <x:c r="A74" s="2"/>
      <x:c r="B74" s="2"/>
      <x:c r="C74" s="2"/>
      <x:c r="D74" s="6"/>
      <x:c r="E74" s="6"/>
      <x:c r="F74" s="6"/>
      <x:c r="G74" s="6"/>
      <x:c r="H74" s="6"/>
      <x:c r="I74" s="6"/>
      <x:c r="J74" s="2"/>
      <x:c r="K74" s="2"/>
      <x:c r="L74" s="2"/>
      <x:c r="M74" s="2"/>
    </x:row>
    <x:row r="75" ht="25" customHeight="1">
      <x:c r="A75" s="2"/>
      <x:c r="B75" s="2"/>
      <x:c r="C75" s="2"/>
      <x:c r="D75" s="6"/>
      <x:c r="E75" s="6"/>
      <x:c r="F75" s="6"/>
      <x:c r="G75" s="6"/>
      <x:c r="H75" s="6"/>
      <x:c r="I75" s="6"/>
      <x:c r="J75" s="2"/>
      <x:c r="K75" s="2"/>
      <x:c r="L75" s="2"/>
      <x:c r="M75" s="2"/>
    </x:row>
    <x:row r="76" ht="25" customHeight="1">
      <x:c r="A76" s="2"/>
      <x:c r="B76" s="2"/>
      <x:c r="C76" s="2"/>
      <x:c r="D76" s="6"/>
      <x:c r="E76" s="6"/>
      <x:c r="F76" s="6"/>
      <x:c r="G76" s="6"/>
      <x:c r="H76" s="6"/>
      <x:c r="I76" s="6"/>
      <x:c r="J76" s="2"/>
      <x:c r="K76" s="2"/>
      <x:c r="L76" s="2"/>
      <x:c r="M76" s="2"/>
    </x:row>
    <x:row r="77" ht="25" customHeight="1">
      <x:c r="A77" s="2"/>
      <x:c r="B77" s="2"/>
      <x:c r="C77" s="2"/>
      <x:c r="D77" s="6"/>
      <x:c r="E77" s="6"/>
      <x:c r="F77" s="6"/>
      <x:c r="G77" s="6"/>
      <x:c r="H77" s="6"/>
      <x:c r="I77" s="6"/>
      <x:c r="J77" s="2"/>
      <x:c r="K77" s="2"/>
      <x:c r="L77" s="2"/>
      <x:c r="M77" s="2"/>
    </x:row>
    <x:row r="78" ht="25" customHeight="1">
      <x:c r="A78" s="2"/>
      <x:c r="B78" s="2"/>
      <x:c r="C78" s="2"/>
      <x:c r="D78" s="6"/>
      <x:c r="E78" s="6"/>
      <x:c r="F78" s="6"/>
      <x:c r="G78" s="6"/>
      <x:c r="H78" s="6"/>
      <x:c r="I78" s="6"/>
      <x:c r="J78" s="2"/>
      <x:c r="K78" s="2"/>
      <x:c r="L78" s="2"/>
      <x:c r="M78" s="2"/>
    </x:row>
    <x:row r="79" ht="25" customHeight="1">
      <x:c r="A79" s="2"/>
      <x:c r="B79" s="2"/>
      <x:c r="C79" s="2"/>
      <x:c r="D79" s="6"/>
      <x:c r="E79" s="6"/>
      <x:c r="F79" s="6"/>
      <x:c r="G79" s="6"/>
      <x:c r="H79" s="6"/>
      <x:c r="I79" s="6"/>
      <x:c r="J79" s="2"/>
      <x:c r="K79" s="2"/>
      <x:c r="L79" s="2"/>
      <x:c r="M79" s="2"/>
    </x:row>
    <x:row r="80" ht="25" customHeight="1">
      <x:c r="A80" s="2"/>
      <x:c r="B80" s="2"/>
      <x:c r="C80" s="2"/>
      <x:c r="D80" s="6"/>
      <x:c r="E80" s="6"/>
      <x:c r="F80" s="6"/>
      <x:c r="G80" s="6"/>
      <x:c r="H80" s="6"/>
      <x:c r="I80" s="6"/>
      <x:c r="J80" s="2"/>
      <x:c r="K80" s="2"/>
      <x:c r="L80" s="2"/>
      <x:c r="M80" s="2"/>
    </x:row>
    <x:row r="81" ht="25" customHeight="1">
      <x:c r="A81" s="2"/>
      <x:c r="B81" s="2"/>
      <x:c r="C81" s="2"/>
      <x:c r="D81" s="6"/>
      <x:c r="E81" s="6"/>
      <x:c r="F81" s="6"/>
      <x:c r="G81" s="6"/>
      <x:c r="H81" s="6"/>
      <x:c r="I81" s="6"/>
      <x:c r="J81" s="2"/>
      <x:c r="K81" s="2"/>
      <x:c r="L81" s="2"/>
      <x:c r="M81" s="2"/>
    </x:row>
    <x:row r="82" ht="25" customHeight="1">
      <x:c r="A82" s="2"/>
      <x:c r="B82" s="2"/>
      <x:c r="C82" s="2"/>
      <x:c r="D82" s="6"/>
      <x:c r="E82" s="6"/>
      <x:c r="F82" s="6"/>
      <x:c r="G82" s="6"/>
      <x:c r="H82" s="6"/>
      <x:c r="I82" s="6"/>
      <x:c r="J82" s="2"/>
      <x:c r="K82" s="2"/>
      <x:c r="L82" s="2"/>
      <x:c r="M82" s="2"/>
    </x:row>
    <x:row r="83" ht="25" customHeight="1">
      <x:c r="A83" s="2"/>
      <x:c r="B83" s="2"/>
      <x:c r="C83" s="2"/>
      <x:c r="D83" s="6"/>
      <x:c r="E83" s="6"/>
      <x:c r="F83" s="6"/>
      <x:c r="G83" s="6"/>
      <x:c r="H83" s="6"/>
      <x:c r="I83" s="6"/>
      <x:c r="J83" s="2"/>
      <x:c r="K83" s="2"/>
      <x:c r="L83" s="2"/>
      <x:c r="M83" s="2"/>
    </x:row>
    <x:row r="84" ht="25" customHeight="1">
      <x:c r="A84" s="2"/>
      <x:c r="B84" s="2"/>
      <x:c r="C84" s="2"/>
      <x:c r="D84" s="6"/>
      <x:c r="E84" s="6"/>
      <x:c r="F84" s="6"/>
      <x:c r="G84" s="6"/>
      <x:c r="H84" s="6"/>
      <x:c r="I84" s="6"/>
      <x:c r="J84" s="2"/>
      <x:c r="K84" s="2"/>
      <x:c r="L84" s="2"/>
      <x:c r="M84" s="2"/>
    </x:row>
    <x:row r="85" ht="25" customHeight="1">
      <x:c r="A85" s="2"/>
      <x:c r="B85" s="2"/>
      <x:c r="C85" s="2"/>
      <x:c r="D85" s="6"/>
      <x:c r="E85" s="6"/>
      <x:c r="F85" s="6"/>
      <x:c r="G85" s="6"/>
      <x:c r="H85" s="6"/>
      <x:c r="I85" s="6"/>
      <x:c r="J85" s="2"/>
      <x:c r="K85" s="2"/>
      <x:c r="L85" s="2"/>
      <x:c r="M85" s="2"/>
    </x:row>
    <x:row r="86" ht="25" customHeight="1">
      <x:c r="A86" s="2"/>
      <x:c r="B86" s="2"/>
      <x:c r="C86" s="2"/>
      <x:c r="D86" s="6"/>
      <x:c r="E86" s="6"/>
      <x:c r="F86" s="6"/>
      <x:c r="G86" s="6"/>
      <x:c r="H86" s="6"/>
      <x:c r="I86" s="6"/>
      <x:c r="J86" s="2"/>
      <x:c r="K86" s="2"/>
      <x:c r="L86" s="2"/>
      <x:c r="M86" s="2"/>
    </x:row>
    <x:row r="87" ht="25" customHeight="1">
      <x:c r="A87" s="2"/>
      <x:c r="B87" s="2"/>
      <x:c r="C87" s="2"/>
      <x:c r="D87" s="6"/>
      <x:c r="E87" s="6"/>
      <x:c r="F87" s="6"/>
      <x:c r="G87" s="6"/>
      <x:c r="H87" s="6"/>
      <x:c r="I87" s="6"/>
      <x:c r="J87" s="2"/>
      <x:c r="K87" s="2"/>
      <x:c r="L87" s="2"/>
      <x:c r="M87" s="2"/>
    </x:row>
    <x:row r="88" ht="25" customHeight="1">
      <x:c r="A88" s="2"/>
      <x:c r="B88" s="2"/>
      <x:c r="C88" s="2"/>
      <x:c r="D88" s="6"/>
      <x:c r="E88" s="6"/>
      <x:c r="F88" s="6"/>
      <x:c r="G88" s="6"/>
      <x:c r="H88" s="6"/>
      <x:c r="I88" s="6"/>
      <x:c r="J88" s="2"/>
      <x:c r="K88" s="2"/>
      <x:c r="L88" s="2"/>
      <x:c r="M88" s="2"/>
    </x:row>
    <x:row r="89" ht="25" customHeight="1">
      <x:c r="A89" s="2"/>
      <x:c r="B89" s="2"/>
      <x:c r="C89" s="2"/>
      <x:c r="D89" s="6"/>
      <x:c r="E89" s="6"/>
      <x:c r="F89" s="6"/>
      <x:c r="G89" s="6"/>
      <x:c r="H89" s="6"/>
      <x:c r="I89" s="6"/>
      <x:c r="J89" s="2"/>
      <x:c r="K89" s="2"/>
      <x:c r="L89" s="2"/>
      <x:c r="M89" s="2"/>
    </x:row>
    <x:row r="90" ht="25" customHeight="1">
      <x:c r="A90" s="2"/>
      <x:c r="B90" s="2"/>
      <x:c r="C90" s="2"/>
      <x:c r="D90" s="6"/>
      <x:c r="E90" s="6"/>
      <x:c r="F90" s="6"/>
      <x:c r="G90" s="6"/>
      <x:c r="H90" s="6"/>
      <x:c r="I90" s="6"/>
      <x:c r="J90" s="2"/>
      <x:c r="K90" s="2"/>
      <x:c r="L90" s="2"/>
      <x:c r="M90" s="2"/>
    </x:row>
    <x:row r="91" ht="25" customHeight="1">
      <x:c r="A91" s="2"/>
      <x:c r="B91" s="2"/>
      <x:c r="C91" s="2"/>
      <x:c r="D91" s="6"/>
      <x:c r="E91" s="6"/>
      <x:c r="F91" s="6"/>
      <x:c r="G91" s="6"/>
      <x:c r="H91" s="6"/>
      <x:c r="I91" s="6"/>
      <x:c r="J91" s="2"/>
      <x:c r="K91" s="2"/>
      <x:c r="L91" s="2"/>
      <x:c r="M91" s="2"/>
    </x:row>
    <x:row r="92" ht="25" customHeight="1">
      <x:c r="A92" s="2"/>
      <x:c r="B92" s="2"/>
      <x:c r="C92" s="2"/>
      <x:c r="D92" s="6"/>
      <x:c r="E92" s="6"/>
      <x:c r="F92" s="6"/>
      <x:c r="G92" s="6"/>
      <x:c r="H92" s="6"/>
      <x:c r="I92" s="6"/>
      <x:c r="J92" s="2"/>
      <x:c r="K92" s="2"/>
      <x:c r="L92" s="2"/>
      <x:c r="M92" s="2"/>
    </x:row>
    <x:row r="93" ht="25" customHeight="1">
      <x:c r="A93" s="2"/>
      <x:c r="B93" s="2"/>
      <x:c r="C93" s="2"/>
      <x:c r="D93" s="6"/>
      <x:c r="E93" s="6"/>
      <x:c r="F93" s="6"/>
      <x:c r="G93" s="6"/>
      <x:c r="H93" s="6"/>
      <x:c r="I93" s="6"/>
      <x:c r="J93" s="2"/>
      <x:c r="K93" s="2"/>
      <x:c r="L93" s="2"/>
      <x:c r="M93" s="2"/>
    </x:row>
    <x:row r="94" ht="25" customHeight="1">
      <x:c r="A94" s="2"/>
      <x:c r="B94" s="2"/>
      <x:c r="C94" s="2"/>
      <x:c r="D94" s="6"/>
      <x:c r="E94" s="6"/>
      <x:c r="F94" s="6"/>
      <x:c r="G94" s="6"/>
      <x:c r="H94" s="6"/>
      <x:c r="I94" s="6"/>
      <x:c r="J94" s="2"/>
      <x:c r="K94" s="2"/>
      <x:c r="L94" s="2"/>
      <x:c r="M94" s="2"/>
    </x:row>
    <x:row r="95" ht="25" customHeight="1">
      <x:c r="A95" s="2"/>
      <x:c r="B95" s="2"/>
      <x:c r="C95" s="2"/>
      <x:c r="D95" s="6"/>
      <x:c r="E95" s="6"/>
      <x:c r="F95" s="6"/>
      <x:c r="G95" s="6"/>
      <x:c r="H95" s="6"/>
      <x:c r="I95" s="6"/>
      <x:c r="J95" s="2"/>
      <x:c r="K95" s="2"/>
      <x:c r="L95" s="2"/>
      <x:c r="M95" s="2"/>
    </x:row>
    <x:row r="96" ht="25" customHeight="1">
      <x:c r="A96" s="2"/>
      <x:c r="B96" s="2"/>
      <x:c r="C96" s="2"/>
      <x:c r="D96" s="6"/>
      <x:c r="E96" s="6"/>
      <x:c r="F96" s="6"/>
      <x:c r="G96" s="6"/>
      <x:c r="H96" s="6"/>
      <x:c r="I96" s="6"/>
      <x:c r="J96" s="2"/>
      <x:c r="K96" s="2"/>
      <x:c r="L96" s="2"/>
      <x:c r="M96" s="2"/>
    </x:row>
    <x:row r="97" ht="25" customHeight="1">
      <x:c r="A97" s="2"/>
      <x:c r="B97" s="2"/>
      <x:c r="C97" s="2"/>
      <x:c r="D97" s="6"/>
      <x:c r="E97" s="6"/>
      <x:c r="F97" s="6"/>
      <x:c r="G97" s="6"/>
      <x:c r="H97" s="6"/>
      <x:c r="I97" s="6"/>
      <x:c r="J97" s="2"/>
      <x:c r="K97" s="2"/>
      <x:c r="L97" s="2"/>
      <x:c r="M97" s="2"/>
    </x:row>
    <x:row r="98" ht="25" customHeight="1">
      <x:c r="A98" s="2"/>
      <x:c r="B98" s="2"/>
      <x:c r="C98" s="2"/>
      <x:c r="D98" s="6"/>
      <x:c r="E98" s="6"/>
      <x:c r="F98" s="6"/>
      <x:c r="G98" s="6"/>
      <x:c r="H98" s="6"/>
      <x:c r="I98" s="6"/>
      <x:c r="J98" s="2"/>
      <x:c r="K98" s="2"/>
      <x:c r="L98" s="2"/>
      <x:c r="M98" s="2"/>
    </x:row>
    <x:row r="99" ht="25" customHeight="1">
      <x:c r="A99" s="2"/>
      <x:c r="B99" s="2"/>
      <x:c r="C99" s="2"/>
      <x:c r="D99" s="6"/>
      <x:c r="E99" s="6"/>
      <x:c r="F99" s="6"/>
      <x:c r="G99" s="6"/>
      <x:c r="H99" s="6"/>
      <x:c r="I99" s="6"/>
      <x:c r="J99" s="2"/>
      <x:c r="K99" s="2"/>
      <x:c r="L99" s="2"/>
      <x:c r="M99" s="2"/>
    </x:row>
    <x:row r="100" ht="25" customHeight="1">
      <x:c r="A100" s="2"/>
      <x:c r="B100" s="2"/>
      <x:c r="C100" s="2"/>
      <x:c r="D100" s="6"/>
      <x:c r="E100" s="6"/>
      <x:c r="F100" s="6"/>
      <x:c r="G100" s="6"/>
      <x:c r="H100" s="6"/>
      <x:c r="I100" s="6"/>
      <x:c r="J100" s="2"/>
      <x:c r="K100" s="2"/>
      <x:c r="L100" s="2"/>
      <x:c r="M100" s="2"/>
    </x:row>
    <x:row r="101" ht="25" customHeight="1">
      <x:c r="A101" s="2"/>
      <x:c r="B101" s="2"/>
      <x:c r="C101" s="2"/>
      <x:c r="D101" s="6"/>
      <x:c r="E101" s="6"/>
      <x:c r="F101" s="6"/>
      <x:c r="G101" s="6"/>
      <x:c r="H101" s="6"/>
      <x:c r="I101" s="6"/>
      <x:c r="J101" s="2"/>
      <x:c r="K101" s="2"/>
      <x:c r="L101" s="2"/>
      <x:c r="M101" s="2"/>
    </x:row>
    <x:row r="102" ht="25" customHeight="1">
      <x:c r="A102" s="2"/>
      <x:c r="B102" s="2"/>
      <x:c r="C102" s="2"/>
      <x:c r="D102" s="6"/>
      <x:c r="E102" s="6"/>
      <x:c r="F102" s="6"/>
      <x:c r="G102" s="6"/>
      <x:c r="H102" s="6"/>
      <x:c r="I102" s="6"/>
      <x:c r="J102" s="2"/>
      <x:c r="K102" s="2"/>
      <x:c r="L102" s="2"/>
      <x:c r="M102" s="2"/>
    </x:row>
    <x:row r="103" ht="25" customHeight="1">
      <x:c r="A103" s="2"/>
      <x:c r="B103" s="2"/>
      <x:c r="C103" s="2"/>
      <x:c r="D103" s="6"/>
      <x:c r="E103" s="6"/>
      <x:c r="F103" s="6"/>
      <x:c r="G103" s="6"/>
      <x:c r="H103" s="6"/>
      <x:c r="I103" s="6"/>
      <x:c r="J103" s="2"/>
      <x:c r="K103" s="2"/>
      <x:c r="L103" s="2"/>
      <x:c r="M103" s="2"/>
    </x:row>
    <x:row r="104" ht="25" customHeight="1">
      <x:c r="A104" s="2"/>
      <x:c r="B104" s="2"/>
      <x:c r="C104" s="2"/>
      <x:c r="D104" s="6"/>
      <x:c r="E104" s="6"/>
      <x:c r="F104" s="6"/>
      <x:c r="G104" s="6"/>
      <x:c r="H104" s="6"/>
      <x:c r="I104" s="6"/>
      <x:c r="J104" s="2"/>
      <x:c r="K104" s="2"/>
      <x:c r="L104" s="2"/>
      <x:c r="M104" s="2"/>
    </x:row>
    <x:row r="105" ht="25" customHeight="1">
      <x:c r="A105" s="2"/>
      <x:c r="B105" s="2"/>
      <x:c r="C105" s="2"/>
      <x:c r="D105" s="6"/>
      <x:c r="E105" s="6"/>
      <x:c r="F105" s="6"/>
      <x:c r="G105" s="6"/>
      <x:c r="H105" s="6"/>
      <x:c r="I105" s="6"/>
      <x:c r="J105" s="2"/>
      <x:c r="K105" s="2"/>
      <x:c r="L105" s="2"/>
      <x:c r="M105" s="2"/>
    </x:row>
    <x:row r="106" ht="25" customHeight="1">
      <x:c r="A106" s="2"/>
      <x:c r="B106" s="2"/>
      <x:c r="C106" s="2"/>
      <x:c r="D106" s="2"/>
      <x:c r="E106" s="2"/>
      <x:c r="F106" s="2"/>
      <x:c r="G106" s="2"/>
      <x:c r="H106" s="2"/>
      <x:c r="I106" s="2"/>
      <x:c r="J106" s="2"/>
      <x:c r="K106" s="2"/>
      <x:c r="L106" s="2"/>
      <x:c r="M106" s="2"/>
    </x:row>
    <x:row r="107" ht="25" customHeight="1">
      <x:c r="A107" s="2"/>
      <x:c r="B107" s="2"/>
      <x:c r="C107" s="2"/>
      <x:c r="D107" s="2"/>
      <x:c r="E107" s="2"/>
      <x:c r="F107" s="2"/>
      <x:c r="G107" s="2"/>
      <x:c r="H107" s="2"/>
      <x:c r="I107" s="2"/>
      <x:c r="J107" s="2"/>
      <x:c r="K107" s="2"/>
      <x:c r="L107" s="2"/>
      <x:c r="M107" s="2"/>
    </x:row>
    <x:row r="108" ht="25" customHeight="1">
      <x:c r="A108" s="2"/>
      <x:c r="B108" s="2"/>
      <x:c r="C108" s="2"/>
      <x:c r="D108" s="2"/>
      <x:c r="E108" s="2"/>
      <x:c r="F108" s="2"/>
      <x:c r="G108" s="2"/>
      <x:c r="H108" s="2"/>
      <x:c r="I108" s="2"/>
      <x:c r="J108" s="2"/>
      <x:c r="K108" s="2"/>
      <x:c r="L108" s="2"/>
      <x:c r="M108" s="2"/>
    </x:row>
    <x:row r="109" ht="25" customHeight="1">
      <x:c r="A109" s="2"/>
      <x:c r="B109" s="2"/>
      <x:c r="C109" s="2"/>
      <x:c r="D109" s="2"/>
      <x:c r="E109" s="2"/>
      <x:c r="F109" s="2"/>
      <x:c r="G109" s="2"/>
      <x:c r="H109" s="2"/>
      <x:c r="I109" s="2"/>
      <x:c r="J109" s="2"/>
      <x:c r="K109" s="2"/>
      <x:c r="L109" s="2"/>
      <x:c r="M109" s="2"/>
    </x:row>
    <x:row r="110" ht="25" customHeight="1">
      <x:c r="A110" s="2"/>
      <x:c r="B110" s="2"/>
      <x:c r="C110" s="2"/>
      <x:c r="D110" s="2"/>
      <x:c r="E110" s="2"/>
      <x:c r="F110" s="2"/>
      <x:c r="G110" s="2"/>
      <x:c r="H110" s="2"/>
      <x:c r="I110" s="2"/>
      <x:c r="J110" s="2"/>
      <x:c r="K110" s="2"/>
      <x:c r="L110" s="2"/>
      <x:c r="M110" s="2"/>
    </x:row>
  </x:sheetData>
  <x:pageMargins left="0.7" right="0.7" top="0.75" bottom="0.75" header="0.3" footer="0.3"/>
</x:worksheet>
</file>