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4.xml" ContentType="application/vnd.openxmlformats-officedocument.spreadsheetml.worksheet+xml"/>
  <Override PartName="/xl/worksheets/sheet5.xml" ContentType="application/vnd.openxmlformats-officedocument.spreadsheetml.worksheet+xml"/>
  <Override PartName="/xl/comments2.xml" ContentType="application/vnd.openxmlformats-officedocument.spreadsheetml.comments+xml"/>
  <Override PartName="/xl/worksheets/sheet6.xml" ContentType="application/vnd.openxmlformats-officedocument.spreadsheetml.worksheet+xml"/>
  <Override PartName="/xl/comments3.xml" ContentType="application/vnd.openxmlformats-officedocument.spreadsheetml.comments+xml"/>
  <Override PartName="/xl/worksheets/sheet7.xml" ContentType="application/vnd.openxmlformats-officedocument.spreadsheetml.worksheet+xml"/>
  <Override PartName="/xl/comments4.xml" ContentType="application/vnd.openxmlformats-officedocument.spreadsheetml.comment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comments5.xml" ContentType="application/vnd.openxmlformats-officedocument.spreadsheetml.comments+xml"/>
  <Override PartName="/xl/threadedcomments/threadedcomment2.xml" ContentType="application/vnd.ms-excel.threadedcomments+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2fa8aab49a3c42e4" /></Relationships>
</file>

<file path=xl/workbook.xml><?xml version="1.0" encoding="utf-8"?>
<x:workbook xmlns:x="http://schemas.openxmlformats.org/spreadsheetml/2006/main">
  <x:sheets>
    <x:sheet xmlns:r="http://schemas.openxmlformats.org/officeDocument/2006/relationships" name="Start Here" sheetId="1" r:id="R30a861dc2fcd496d"/>
    <x:sheet xmlns:r="http://schemas.openxmlformats.org/officeDocument/2006/relationships" name="Valuation Summary" sheetId="2" r:id="Ra48ee5c8b4ee4358"/>
    <x:sheet xmlns:r="http://schemas.openxmlformats.org/officeDocument/2006/relationships" name="Assumptions" sheetId="3" r:id="Rc995e28f74d34723"/>
    <x:sheet xmlns:r="http://schemas.openxmlformats.org/officeDocument/2006/relationships" name="Historical Financials" sheetId="4" r:id="Re7261f4e59f846a6"/>
    <x:sheet xmlns:r="http://schemas.openxmlformats.org/officeDocument/2006/relationships" name="Operating Forecast" sheetId="5" r:id="Ra18932a483284de1"/>
    <x:sheet xmlns:r="http://schemas.openxmlformats.org/officeDocument/2006/relationships" name="KPIs &amp; SBC" sheetId="6" r:id="R36d41039a78f471d"/>
    <x:sheet xmlns:r="http://schemas.openxmlformats.org/officeDocument/2006/relationships" name="Trading Comps" sheetId="7" r:id="R32ef955c045a480f"/>
    <x:sheet xmlns:r="http://schemas.openxmlformats.org/officeDocument/2006/relationships" name="DCF" sheetId="8" r:id="R88283a1c650b413c"/>
    <x:sheet xmlns:r="http://schemas.openxmlformats.org/officeDocument/2006/relationships" name="Transactions" sheetId="9" r:id="R0f86410827ef457e"/>
    <x:sheet xmlns:r="http://schemas.openxmlformats.org/officeDocument/2006/relationships" name="Sum-of-the-Parts" sheetId="10" r:id="Ra60c237885ae4d9a"/>
    <x:sheet xmlns:r="http://schemas.openxmlformats.org/officeDocument/2006/relationships" name="Acquisition Returns" sheetId="11" r:id="Rd35537c2d6af4fbf"/>
    <x:sheet xmlns:r="http://schemas.openxmlformats.org/officeDocument/2006/relationships" name="Sensitivities" sheetId="12" r:id="R78abe447d019467c"/>
    <x:sheet xmlns:r="http://schemas.openxmlformats.org/officeDocument/2006/relationships" name="Sources &amp; Adjustments" sheetId="13" r:id="Rcd3d2198d9614cbc"/>
    <x:sheet xmlns:r="http://schemas.openxmlformats.org/officeDocument/2006/relationships" name="Checks" sheetId="14" r:id="Rc48c7a0552414284"/>
    <x:sheet xmlns:r="http://schemas.openxmlformats.org/officeDocument/2006/relationships" name="Source Inputs" sheetId="15" r:id="R0a58bb86b91d444e"/>
  </x:sheets>
</x:workbook>
</file>

<file path=xl/comments1.xml><?xml version="1.0" encoding="utf-8"?>
<x:comments xmlns:x="http://schemas.openxmlformats.org/spreadsheetml/2006/main">
  <x:authors>
    <x:author>tc={F87B9072-5B32-460D-804A-4E28F586D944}</x:author>
    <x:author>tc={7BDC06B2-4E0B-406D-AD40-3FF5CA6BF87D}</x:author>
    <x:author>tc={C0ACEDC6-8591-4333-A874-0545D89EFFA1}</x:author>
    <x:author>tc={5801B6A8-933F-4EB8-9801-0AE86684D855}</x:author>
    <x:author>tc={F2B02DB6-01B7-48E8-A4CD-A78A18086DA5}</x:author>
    <x:author>tc={D18627D9-EAA2-4071-84CF-0F4C01C5675B}</x:author>
    <x:author>tc={033065D6-50E5-4EFF-A346-B8EFE29A9E03}</x:author>
    <x:author>tc={B6E1FB02-7BEF-4E3D-83F2-A580CF80EEDF}</x:author>
    <x:author>tc={9EBDC6A8-837E-41C7-84D5-482B97D5CEBD}</x:author>
    <x:author>tc={00BE28D3-F036-475A-AFC8-8C5E962FEEC1}</x:author>
  </x:authors>
  <x:commentList>
    <x:comment ref="C53" authorId="0">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D53" authorId="1">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E53" authorId="2">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F53" authorId="3">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G53" authorId="4">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C54" authorId="5">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D54" authorId="6">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E54" authorId="7">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F54" authorId="8">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 ref="G54" authorId="9">
      <x:text>
        <x:r>
          <x:t>[Threaded comment]
Your version of Excel allows you to read this threaded comment; however, any edits to it will get removed if the file is opened in a newer version of Excel. Learn more: https://go.microsoft.com/fwlink/?linkid=870924
Comment:
    Source: https://s201.q4cdn.com/141608511/files/doc_financials/2027/NVDA-2027-Q2-10Q-Final-including-exhibits.pdf
Commitment table page 17. Column C H2 FY2027, D:G FY2028–FY2031.</x:t>
        </x:r>
      </x:text>
    </x:comment>
  </x:commentList>
</x:comments>
</file>

<file path=xl/comments2.xml><?xml version="1.0" encoding="utf-8"?>
<x:comments xmlns:x="http://schemas.openxmlformats.org/spreadsheetml/2006/main">
  <x:authors>
    <x:author>Unknown Author</x:author>
  </x:authors>
  <x:commentList>
    <x:comment ref="C38" authorId="0">
      <x:text>
        <x:r>
          <x:t>Note: 'Other assets' rolls by capex − D&amp;A. Because NVDA's forecast capex &lt; D&amp;A gap is small vs the huge cash build, this line drifts; the balance check confirms the statements still tie.</x:t>
        </x:r>
      </x:text>
    </x:comment>
  </x:commentList>
</x:comments>
</file>

<file path=xl/comments3.xml><?xml version="1.0" encoding="utf-8"?>
<x:comments xmlns:x="http://schemas.openxmlformats.org/spreadsheetml/2006/main">
  <x:authors>
    <x:author>Unknown Author</x:author>
  </x:authors>
  <x:commentList>
    <x:comment ref="C11" authorId="0">
      <x:text>
        <x:r>
          <x:t>NVDA's forward EV/EBITDA (~15.6x) is BELOW Broadcom (16.7x) and ~ Microsoft (15.7x). It only looks cheap if consensus growth is delivered.</x:t>
        </x:r>
      </x:text>
    </x:comment>
  </x:commentList>
</x:comments>
</file>

<file path=xl/comments4.xml><?xml version="1.0" encoding="utf-8"?>
<x:comments xmlns:x="http://schemas.openxmlformats.org/spreadsheetml/2006/main">
  <x:authors>
    <x:author>Unknown Author</x:author>
  </x:authors>
  <x:commentList>
    <x:comment ref="F13" authorId="0">
      <x:text>
        <x:r>
          <x:t>NVDA ~15.6x forward EV/EBITDA — BELOW Broadcom (16.7x), ~ Microsoft (15.7x), far below AMD (36x). Cheap ONLY if the consensus growth lands.</x:t>
        </x:r>
      </x:text>
    </x:comment>
  </x:commentList>
</x:comments>
</file>

<file path=xl/comments5.xml><?xml version="1.0" encoding="utf-8"?>
<x:comments xmlns:x="http://schemas.openxmlformats.org/spreadsheetml/2006/main">
  <x:authors>
    <x:author>tc={604844C4-75B9-4B35-86D3-5AF41838F1B8}</x:author>
    <x:author>tc={8BD8D2EE-CB83-464F-8954-4C160AE3EDEC}</x:author>
    <x:author>tc={02151233-74CB-4BAF-BA8F-F84D210089D9}</x:author>
    <x:author>tc={36D56E89-385C-4FF0-AD1D-CA69E96D5A70}</x:author>
    <x:author>tc={C7D6B31E-F1DF-41F7-BD31-3D170661B3E8}</x:author>
    <x:author>tc={AE5BFC8B-5B3B-4674-94D2-4C9AF6BB1306}</x:author>
    <x:author>tc={7613EA27-1F7C-4390-A9BD-712AF01FBBFF}</x:author>
    <x:author>tc={2BDA7381-50A4-4766-8874-3CDFCAAC72E5}</x:author>
    <x:author>tc={7A5C5EC0-6A14-42EC-BAE7-0918522FB7A2}</x:author>
    <x:author>tc={04001185-A1E1-4499-B237-8029DE8D2D64}</x:author>
    <x:author>tc={5FCE601E-6BAF-490F-901D-ED62ABFE79B0}</x:author>
    <x:author>tc={B9AC715D-9512-40C1-A7CD-C5455C4214B1}</x:author>
    <x:author>tc={C95D186E-2CE0-488F-995C-4CEF46191FF6}</x:author>
    <x:author>tc={2109962F-8156-4851-A244-7E87EEAFC9DF}</x:author>
    <x:author>tc={9CD5DCCF-5689-4DE7-8084-2D1532428569}</x:author>
    <x:author>tc={B7C285AF-B83C-4E3D-A0FF-E43B00AC0D06}</x:author>
    <x:author>tc={0457AD8A-F699-49D1-9EAE-3938EC4D87F7}</x:author>
    <x:author>tc={CC2C879A-20B5-4D14-8CC5-F9DF14BB665C}</x:author>
    <x:author>tc={028C78BE-2EA7-4D45-9ED8-84A5041F12BA}</x:author>
    <x:author>tc={6CD04645-13C7-48D9-9652-9F510442F6D3}</x:author>
    <x:author>tc={C5292282-4365-4F96-B1CE-2E5F4E14535E}</x:author>
    <x:author>tc={1FEE4DA2-702D-47DD-A045-754759F68E66}</x:author>
    <x:author>tc={39108602-97A7-47C0-B2E3-ED52C511C337}</x:author>
  </x:authors>
  <x:commentList>
    <x:comment ref="C10" authorId="0">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11" authorId="1">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12" authorId="2">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13" authorId="3">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14" authorId="4">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19" authorId="5">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0" authorId="6">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1" authorId="7">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2" authorId="8">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3" authorId="9">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4" authorId="10">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5" authorId="11">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6" authorId="12">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7" authorId="13">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8" authorId="14">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29" authorId="15">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0" authorId="16">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1" authorId="17">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3" authorId="18">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4" authorId="19">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5" authorId="20">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6" authorId="21">
      <x:text>
        <x:r>
          <x:t>[Threaded comment]
Your version of Excel allows you to read this threaded comment; however, any edits to it will get removed if the file is opened in a newer version of Excel. Learn more: https://go.microsoft.com/fwlink/?linkid=870924
Comment:
    Source: https://nvidianews.nvidia.com/news/nvidia-announces-financial-results-for-second-quarter-fiscal-2027
Debt principal and capital payments: https://s201.q4cdn.com/141608511/files/doc_financials/2027/NVDA-2027-Q2-10Q-Final-including-exhibits.pdf
July 26, 2026; USD millions except per-share amounts.</x:t>
        </x:r>
      </x:text>
    </x:comment>
    <x:comment ref="C37" authorId="22">
      <x:text>
        <x:r>
          <x:t>[Threaded comment]
Your version of Excel allows you to read this threaded comment; however, any edits to it will get removed if the file is opened in a newer version of Excel. Learn more: https://go.microsoft.com/fwlink/?linkid=870924
Comment:
    Source: https://blogs.nvidia.com/blog/nvidia-to-acquire-hugging-face/ — September 3, 2026. Cash fraction and payment timing are assumptions.</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16">
    <x:numFmt numFmtId="164" formatCode="General"/>
    <x:numFmt numFmtId="165" formatCode="\$#,##0.00;&quot;($&quot;#,##0.00\);\-"/>
    <x:numFmt numFmtId="166" formatCode="\$#,##0;&quot;($&quot;#,##0\);\-"/>
    <x:numFmt numFmtId="167" formatCode="0"/>
    <x:numFmt numFmtId="168" formatCode="0.00\x"/>
    <x:numFmt numFmtId="169" formatCode="0.0%;\(0.0%\);\-"/>
    <x:numFmt numFmtId="170" formatCode="0.0\x;\(0.0&quot;x)&quot;;\-"/>
    <x:numFmt numFmtId="171" formatCode="#,##0"/>
    <x:numFmt numFmtId="172" formatCode="0.00"/>
    <x:numFmt numFmtId="173" formatCode="0.000"/>
    <x:numFmt numFmtId="200" formatCode="mmm d, yyyy"/>
    <x:numFmt numFmtId="201" formatCode="$0.00;($0.00);&quot;—&quot;"/>
    <x:numFmt numFmtId="202" formatCode="#,##0.0;(#,##0.0);&quot;—&quot;"/>
    <x:numFmt numFmtId="203" formatCode="0.0%;(0.0%);&quot;—&quot;"/>
    <x:numFmt numFmtId="204" formatCode="0.0&quot;x&quot;"/>
    <x:numFmt numFmtId="205" formatCode="0.0000"/>
  </x:numFmts>
  <x:fonts count="37">
    <x:font>
      <x:sz val="11"/>
      <x:color theme="1"/>
      <x:name val="Calibri"/>
    </x:font>
    <x:font>
      <x:sz val="10"/>
      <x:name val="Arial"/>
    </x:font>
    <x:font>
      <x:sz val="10"/>
      <x:name val="Arial"/>
    </x:font>
    <x:font>
      <x:sz val="10"/>
      <x:name val="Arial"/>
    </x:font>
    <x:font>
      <x:b/>
      <x:sz val="16"/>
      <x:color rgb="FFFFFFFF"/>
      <x:name val="Arial"/>
    </x:font>
    <x:font>
      <x:i/>
      <x:sz val="9"/>
      <x:color rgb="FFB8860B"/>
      <x:name val="Arial"/>
    </x:font>
    <x:font>
      <x:b/>
      <x:sz val="12"/>
      <x:color rgb="FF1A1A17"/>
      <x:name val="Arial"/>
    </x:font>
    <x:font>
      <x:sz val="10"/>
      <x:color rgb="FF1A1A17"/>
      <x:name val="Arial"/>
    </x:font>
    <x:font>
      <x:b/>
      <x:sz val="10"/>
      <x:color rgb="FF1A1A17"/>
      <x:name val="Arial"/>
    </x:font>
    <x:font>
      <x:b/>
      <x:sz val="10"/>
      <x:color rgb="FF0000FF"/>
      <x:name val="Arial"/>
    </x:font>
    <x:font>
      <x:b/>
      <x:sz val="10"/>
      <x:color rgb="FF000000"/>
      <x:name val="Arial"/>
    </x:font>
    <x:font>
      <x:b/>
      <x:sz val="10"/>
      <x:color rgb="FF008000"/>
      <x:name val="Arial"/>
    </x:font>
    <x:font>
      <x:b/>
      <x:sz val="10"/>
      <x:color rgb="FFFF0000"/>
      <x:name val="Arial"/>
    </x:font>
    <x:font>
      <x:b/>
      <x:sz val="11"/>
      <x:color rgb="FF1A1A17"/>
      <x:name val="Arial"/>
    </x:font>
    <x:font>
      <x:sz val="10"/>
      <x:color rgb="FF008000"/>
      <x:name val="Arial"/>
    </x:font>
    <x:font>
      <x:sz val="9"/>
      <x:color rgb="FF1A1A17"/>
      <x:name val="Arial"/>
    </x:font>
    <x:font>
      <x:sz val="10"/>
      <x:color rgb="FF0000FF"/>
      <x:name val="Arial"/>
    </x:font>
    <x:font>
      <x:b/>
      <x:sz val="11"/>
      <x:color rgb="FFB8860B"/>
      <x:name val="Arial"/>
    </x:font>
    <x:font>
      <x:b/>
      <x:sz val="18"/>
      <x:color rgb="FF000000"/>
      <x:name val="Calibri"/>
    </x:font>
    <x:font>
      <x:sz val="10"/>
      <x:color rgb="FF000000"/>
      <x:name val="Calibri"/>
    </x:font>
    <x:font>
      <x:b/>
      <x:sz val="10"/>
      <x:color rgb="FFB8860B"/>
      <x:name val="Arial"/>
    </x:font>
    <x:font>
      <x:i/>
      <x:sz val="8"/>
      <x:color rgb="FF1A1A17"/>
      <x:name val="Arial"/>
    </x:font>
    <x:font>
      <x:i/>
      <x:sz val="10"/>
      <x:color rgb="FF1A1A17"/>
      <x:name val="Arial"/>
    </x:font>
    <x:font>
      <x:i/>
      <x:sz val="9"/>
      <x:color rgb="FF1A1A17"/>
      <x:name val="Arial"/>
    </x:font>
    <x:font>
      <x:sz val="10"/>
      <x:color rgb="FF000000"/>
      <x:name val="Arial"/>
    </x:font>
    <x:font>
      <x:sz val="10"/>
      <x:color rgb="FFFF0000"/>
      <x:name val="Arial"/>
    </x:font>
    <x:font>
      <x:i/>
      <x:sz val="10"/>
      <x:color rgb="FF000000"/>
      <x:name val="Arial"/>
    </x:font>
    <x:font>
      <x:sz val="10"/>
      <x:name val="Arial"/>
    </x:font>
    <x:font>
      <x:i/>
      <x:sz val="8"/>
      <x:color rgb="FFFF0000"/>
      <x:name val="Arial"/>
    </x:font>
    <x:font>
      <x:b/>
      <x:sz val="10"/>
      <x:name val="Arial"/>
    </x:font>
    <x:font>
      <x:i/>
      <x:sz val="9"/>
      <x:color rgb="FFFF0000"/>
      <x:name val="Arial"/>
    </x:font>
    <x:font>
      <x:b/>
      <x:sz val="9"/>
      <x:color rgb="FF1A1A17"/>
      <x:name val="Arial"/>
    </x:font>
    <x:font>
      <x:b/>
      <x:sz val="11"/>
      <x:color rgb="FF008000"/>
      <x:name val="Arial"/>
    </x:font>
    <x:font>
      <x:sz val="10"/>
      <x:color rgb="FFB8860B"/>
      <x:name val="Arial"/>
    </x:font>
    <x:font>
      <x:i/>
      <x:sz val="10"/>
      <x:color rgb="FFB8860B"/>
      <x:name val="Arial"/>
    </x:font>
    <x:font>
      <x:b/>
      <x:i/>
      <x:sz val="10"/>
      <x:color rgb="FF1A1A17"/>
      <x:name val="Arial"/>
    </x:font>
    <x:font>
      <x:i/>
      <x:sz val="10"/>
      <x:color rgb="FF008000"/>
      <x:name val="Arial"/>
    </x:font>
  </x:fonts>
  <x:fills count="11">
    <x:fill>
      <x:patternFill patternType="none"/>
    </x:fill>
    <x:fill>
      <x:patternFill patternType="gray125"/>
    </x:fill>
    <x:fill>
      <x:patternFill patternType="solid">
        <x:fgColor rgb="FF2E2A22"/>
      </x:patternFill>
    </x:fill>
    <x:fill>
      <x:patternFill patternType="solid">
        <x:fgColor rgb="FFFDF7EE"/>
      </x:patternFill>
    </x:fill>
    <x:fill>
      <x:patternFill patternType="solid">
        <x:fgColor rgb="FFEFE6D2"/>
      </x:patternFill>
    </x:fill>
    <x:fill>
      <x:patternFill patternType="solid">
        <x:fgColor rgb="FFFFF2A8"/>
      </x:patternFill>
    </x:fill>
    <x:fill>
      <x:patternFill patternType="solid">
        <x:fgColor rgb="FFF3E6C4"/>
      </x:patternFill>
    </x:fill>
    <x:fill>
      <x:patternFill patternType="solid">
        <x:fgColor rgb="FFFDF7EE"/>
      </x:patternFill>
    </x:fill>
    <x:fill>
      <x:patternFill patternType="solid">
        <x:fgColor rgb="FF2E2A22"/>
      </x:patternFill>
    </x:fill>
    <x:fill>
      <x:patternFill patternType="solid">
        <x:fgColor rgb="FFFFF2CC"/>
      </x:patternFill>
    </x:fill>
    <x:fill>
      <x:patternFill patternType="solid">
        <x:fgColor rgb="FFEFE6D2"/>
      </x:patternFill>
    </x:fill>
  </x:fills>
  <x:borders count="2">
    <x:border diagonalUp="0" diagonalDown="0"/>
    <x:border diagonalUp="0" diagonalDown="0">
      <x:top style="thin">
        <x:color rgb="FFB8AD97"/>
      </x:top>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285">
    <x:xf numFmtId="164" fontId="0" fillId="0" borderId="0" xfId="0" applyFont="0" applyBorder="0" applyAlignment="0">
      <x:alignment horizontal="general" vertical="bottom" wrapText="0"/>
    </x:xf>
    <x:xf numFmtId="164" fontId="4" fillId="2" borderId="0" xfId="0" applyFont="1" applyBorder="1" applyAlignment="1">
      <x:alignment horizontal="left" vertical="center" wrapText="0"/>
    </x:xf>
    <x:xf numFmtId="164" fontId="0" fillId="3" borderId="0" xfId="0" applyFont="0" applyBorder="0" applyAlignment="0">
      <x:alignment horizontal="general" vertical="bottom" wrapText="0"/>
    </x:xf>
    <x:xf numFmtId="164" fontId="5" fillId="3" borderId="0" xfId="0" applyFont="1" applyBorder="1" applyAlignment="0">
      <x:alignment horizontal="general" vertical="bottom" wrapText="0"/>
    </x:xf>
    <x:xf numFmtId="164" fontId="6" fillId="3" borderId="0" xfId="0" applyFont="1" applyBorder="0" applyAlignment="0">
      <x:alignment horizontal="general" vertical="bottom" wrapText="0"/>
    </x:xf>
    <x:xf numFmtId="164" fontId="7" fillId="3" borderId="0" xfId="0" applyFont="1" applyBorder="1" applyAlignment="1">
      <x:alignment horizontal="left" vertical="top" wrapText="1"/>
    </x:xf>
    <x:xf numFmtId="164" fontId="8" fillId="3" borderId="0" xfId="0" applyFont="1" applyBorder="0" applyAlignment="0">
      <x:alignment horizontal="general" vertical="bottom" wrapText="0"/>
    </x:xf>
    <x:xf numFmtId="164" fontId="7" fillId="3" borderId="0" xfId="0" applyFont="1" applyBorder="0" applyAlignment="0">
      <x:alignment horizontal="general" vertical="bottom" wrapText="0"/>
    </x:xf>
    <x:xf numFmtId="164" fontId="5" fillId="3" borderId="0" xfId="0" applyFont="1" applyBorder="1" applyAlignment="1">
      <x:alignment horizontal="left" vertical="top" wrapText="1"/>
    </x:xf>
    <x:xf numFmtId="164" fontId="9" fillId="3" borderId="0" xfId="0" applyFont="1" applyBorder="0" applyAlignment="0">
      <x:alignment horizontal="general" vertical="bottom" wrapText="0"/>
    </x:xf>
    <x:xf numFmtId="164" fontId="10" fillId="3" borderId="0" xfId="0" applyFont="1" applyBorder="0" applyAlignment="0">
      <x:alignment horizontal="general" vertical="bottom" wrapText="0"/>
    </x:xf>
    <x:xf numFmtId="164" fontId="11" fillId="3" borderId="0" xfId="0" applyFont="1" applyBorder="0" applyAlignment="0">
      <x:alignment horizontal="general" vertical="bottom" wrapText="0"/>
    </x:xf>
    <x:xf numFmtId="164" fontId="12" fillId="3" borderId="0" xfId="0" applyFont="1" applyBorder="0" applyAlignment="0">
      <x:alignment horizontal="general" vertical="bottom" wrapText="0"/>
    </x:xf>
    <x:xf numFmtId="164" fontId="13" fillId="4" borderId="0" xfId="0" applyFont="1" applyBorder="1" applyAlignment="0">
      <x:alignment horizontal="general" vertical="bottom" wrapText="0"/>
    </x:xf>
    <x:xf numFmtId="164" fontId="8" fillId="3" borderId="0" xfId="0" applyFont="1" applyBorder="0" applyAlignment="1">
      <x:alignment horizontal="right" vertical="center" wrapText="0"/>
    </x:xf>
    <x:xf numFmtId="165" fontId="14" fillId="3" borderId="0" xfId="0" applyFont="1" applyBorder="0" applyAlignment="1">
      <x:alignment horizontal="right" vertical="center" wrapText="0"/>
    </x:xf>
    <x:xf numFmtId="165" fontId="8" fillId="3" borderId="0" xfId="0" applyFont="1" applyBorder="0" applyAlignment="1">
      <x:alignment horizontal="right" vertical="center" wrapText="0"/>
    </x:xf>
    <x:xf numFmtId="165" fontId="15" fillId="3" borderId="0" xfId="0" applyFont="1" applyBorder="0" applyAlignment="1">
      <x:alignment horizontal="right" vertical="center" wrapText="0"/>
    </x:xf>
    <x:xf numFmtId="165" fontId="16" fillId="3" borderId="0" xfId="0" applyFont="1" applyBorder="0" applyAlignment="1">
      <x:alignment horizontal="right" vertical="center" wrapText="0"/>
    </x:xf>
    <x:xf numFmtId="165" fontId="7" fillId="3" borderId="0" xfId="0" applyFont="1" applyBorder="0" applyAlignment="1">
      <x:alignment horizontal="right" vertical="center" wrapText="0"/>
    </x:xf>
    <x:xf numFmtId="165" fontId="17" fillId="3" borderId="0" xfId="0" applyFont="1" applyBorder="0" applyAlignment="1">
      <x:alignment horizontal="right" vertical="center" wrapText="0"/>
    </x:xf>
    <x:xf numFmtId="166" fontId="14" fillId="3" borderId="0" xfId="0" applyFont="1" applyBorder="0" applyAlignment="1">
      <x:alignment horizontal="right" vertical="center" wrapText="0"/>
    </x:xf>
    <x:xf numFmtId="164" fontId="15" fillId="3" borderId="0" xfId="0" applyFont="1" applyBorder="1" applyAlignment="1">
      <x:alignment horizontal="left" vertical="top" wrapText="1"/>
    </x:xf>
    <x:xf numFmtId="167" fontId="9" fillId="5" borderId="0" xfId="0" applyFont="1" applyBorder="0" applyAlignment="1">
      <x:alignment horizontal="right" vertical="center" wrapText="0"/>
    </x:xf>
    <x:xf numFmtId="164" fontId="20" fillId="3" borderId="0" xfId="0" applyFont="1" applyBorder="0" applyAlignment="1">
      <x:alignment horizontal="right" vertical="center" wrapText="0"/>
    </x:xf>
    <x:xf numFmtId="168" fontId="16" fillId="3" borderId="0" xfId="0" applyFont="1" applyBorder="0" applyAlignment="1">
      <x:alignment horizontal="right" vertical="center" wrapText="0"/>
    </x:xf>
    <x:xf numFmtId="168" fontId="8" fillId="3" borderId="0" xfId="0" applyFont="1" applyBorder="0" applyAlignment="1">
      <x:alignment horizontal="right" vertical="center" wrapText="0"/>
    </x:xf>
    <x:xf numFmtId="164" fontId="21" fillId="3" borderId="0" xfId="0" applyFont="1" applyBorder="0" applyAlignment="0">
      <x:alignment horizontal="general" vertical="bottom" wrapText="0"/>
    </x:xf>
    <x:xf numFmtId="169" fontId="16" fillId="3" borderId="0" xfId="0" applyFont="1" applyBorder="0" applyAlignment="1">
      <x:alignment horizontal="right" vertical="center" wrapText="0"/>
    </x:xf>
    <x:xf numFmtId="169" fontId="8" fillId="3" borderId="0" xfId="0" applyFont="1" applyBorder="0" applyAlignment="1">
      <x:alignment horizontal="right" vertical="center" wrapText="0"/>
    </x:xf>
    <x:xf numFmtId="166" fontId="16" fillId="3" borderId="0" xfId="0" applyFont="1" applyBorder="0" applyAlignment="1">
      <x:alignment horizontal="right" vertical="center" wrapText="0"/>
    </x:xf>
    <x:xf numFmtId="166" fontId="8" fillId="3" borderId="0" xfId="0" applyFont="1" applyBorder="0" applyAlignment="1">
      <x:alignment horizontal="right" vertical="center" wrapText="0"/>
    </x:xf>
    <x:xf numFmtId="170" fontId="16" fillId="3" borderId="0" xfId="0" applyFont="1" applyBorder="0" applyAlignment="1">
      <x:alignment horizontal="right" vertical="center" wrapText="0"/>
    </x:xf>
    <x:xf numFmtId="170" fontId="8" fillId="3" borderId="0" xfId="0" applyFont="1" applyBorder="0" applyAlignment="1">
      <x:alignment horizontal="right" vertical="center" wrapText="0"/>
    </x:xf>
    <x:xf numFmtId="171" fontId="16" fillId="3" borderId="0" xfId="0" applyFont="1" applyBorder="0" applyAlignment="1">
      <x:alignment horizontal="right" vertical="center" wrapText="0"/>
    </x:xf>
    <x:xf numFmtId="172" fontId="16" fillId="3" borderId="0" xfId="0" applyFont="1" applyBorder="0" applyAlignment="1">
      <x:alignment horizontal="right" vertical="center" wrapText="0"/>
    </x:xf>
    <x:xf numFmtId="167" fontId="16" fillId="3" borderId="0" xfId="0" applyFont="1" applyBorder="0" applyAlignment="1">
      <x:alignment horizontal="right" vertical="center" wrapText="0"/>
    </x:xf>
    <x:xf numFmtId="164" fontId="21" fillId="3" borderId="0" xfId="0" applyFont="1" applyBorder="0" applyAlignment="1">
      <x:alignment horizontal="right" vertical="center" wrapText="0"/>
    </x:xf>
    <x:xf numFmtId="166" fontId="10" fillId="3" borderId="0" xfId="0" applyFont="1" applyBorder="0" applyAlignment="1">
      <x:alignment horizontal="right" vertical="center" wrapText="0"/>
    </x:xf>
    <x:xf numFmtId="164" fontId="22" fillId="3" borderId="0" xfId="0" applyFont="1" applyBorder="0" applyAlignment="0">
      <x:alignment horizontal="general" vertical="bottom" wrapText="0"/>
    </x:xf>
    <x:xf numFmtId="169" fontId="23" fillId="3" borderId="0" xfId="0" applyFont="1" applyBorder="0" applyAlignment="1">
      <x:alignment horizontal="right" vertical="center" wrapText="0"/>
    </x:xf>
    <x:xf numFmtId="164" fontId="24" fillId="3" borderId="0" xfId="0" applyFont="1" applyBorder="0" applyAlignment="0">
      <x:alignment horizontal="general" vertical="bottom" wrapText="0"/>
    </x:xf>
    <x:xf numFmtId="166" fontId="24" fillId="3" borderId="0" xfId="0" applyFont="1" applyBorder="0" applyAlignment="1">
      <x:alignment horizontal="right" vertical="center" wrapText="0"/>
    </x:xf>
    <x:xf numFmtId="164" fontId="25" fillId="3" borderId="0" xfId="0" applyFont="1" applyBorder="0" applyAlignment="0">
      <x:alignment horizontal="general" vertical="bottom" wrapText="0"/>
    </x:xf>
    <x:xf numFmtId="166" fontId="25" fillId="3" borderId="0" xfId="0" applyFont="1" applyBorder="0" applyAlignment="1">
      <x:alignment horizontal="right" vertical="center" wrapText="0"/>
    </x:xf>
    <x:xf numFmtId="165" fontId="24" fillId="3" borderId="0" xfId="0" applyFont="1" applyBorder="0" applyAlignment="1">
      <x:alignment horizontal="right" vertical="center" wrapText="0"/>
    </x:xf>
    <x:xf numFmtId="171" fontId="24" fillId="3" borderId="0" xfId="0" applyFont="1" applyBorder="0" applyAlignment="1">
      <x:alignment horizontal="right" vertical="center" wrapText="0"/>
    </x:xf>
    <x:xf numFmtId="164" fontId="14" fillId="3" borderId="0" xfId="0" applyFont="1" applyBorder="0" applyAlignment="0">
      <x:alignment horizontal="general" vertical="bottom" wrapText="0"/>
    </x:xf>
    <x:xf numFmtId="164" fontId="26" fillId="3" borderId="0" xfId="0" applyFont="1" applyBorder="0" applyAlignment="0">
      <x:alignment horizontal="general" vertical="bottom" wrapText="0"/>
    </x:xf>
    <x:xf numFmtId="169" fontId="26" fillId="3" borderId="0" xfId="0" applyFont="1" applyBorder="0" applyAlignment="1">
      <x:alignment horizontal="right" vertical="center" wrapText="0"/>
    </x:xf>
    <x:xf numFmtId="165" fontId="10" fillId="3" borderId="0" xfId="0" applyFont="1" applyBorder="0" applyAlignment="1">
      <x:alignment horizontal="right" vertical="center" wrapText="0"/>
    </x:xf>
    <x:xf numFmtId="166" fontId="11" fillId="3" borderId="0" xfId="0" applyFont="1" applyBorder="0" applyAlignment="1">
      <x:alignment horizontal="right" vertical="center" wrapText="0"/>
    </x:xf>
    <x:xf numFmtId="170" fontId="14" fillId="3" borderId="0" xfId="0" applyFont="1" applyBorder="0" applyAlignment="1">
      <x:alignment horizontal="right" vertical="center" wrapText="0"/>
    </x:xf>
    <x:xf numFmtId="164" fontId="15" fillId="3" borderId="0" xfId="0" applyFont="1" applyBorder="1" applyAlignment="0">
      <x:alignment horizontal="general" vertical="bottom" wrapText="0"/>
    </x:xf>
    <x:xf numFmtId="164" fontId="8" fillId="3" borderId="0" xfId="0" applyFont="1" applyBorder="0" applyAlignment="1">
      <x:alignment horizontal="left" vertical="center" wrapText="0"/>
    </x:xf>
    <x:xf numFmtId="170" fontId="7" fillId="3" borderId="0" xfId="0" applyFont="1" applyBorder="0" applyAlignment="1">
      <x:alignment horizontal="right" vertical="center" wrapText="0"/>
    </x:xf>
    <x:xf numFmtId="164" fontId="20" fillId="3" borderId="0" xfId="0" applyFont="1" applyBorder="0" applyAlignment="0">
      <x:alignment horizontal="general" vertical="bottom" wrapText="0"/>
    </x:xf>
    <x:xf numFmtId="170" fontId="20" fillId="3" borderId="0" xfId="0" applyFont="1" applyBorder="0" applyAlignment="1">
      <x:alignment horizontal="right" vertical="center" wrapText="0"/>
    </x:xf>
    <x:xf numFmtId="165" fontId="10" fillId="6" borderId="0" xfId="0" applyFont="1" applyBorder="0" applyAlignment="1">
      <x:alignment horizontal="right" vertical="center" wrapText="0"/>
    </x:xf>
    <x:xf numFmtId="169" fontId="14" fillId="3" borderId="0" xfId="0" applyFont="1" applyBorder="0" applyAlignment="1">
      <x:alignment horizontal="right" vertical="center" wrapText="0"/>
    </x:xf>
    <x:xf numFmtId="172" fontId="14" fillId="3" borderId="0" xfId="0" applyFont="1" applyBorder="0" applyAlignment="1">
      <x:alignment horizontal="right" vertical="center" wrapText="0"/>
    </x:xf>
    <x:xf numFmtId="169" fontId="10" fillId="3" borderId="0" xfId="0" applyFont="1" applyBorder="0" applyAlignment="1">
      <x:alignment horizontal="right" vertical="center" wrapText="0"/>
    </x:xf>
    <x:xf numFmtId="169" fontId="24" fillId="3" borderId="0" xfId="0" applyFont="1" applyBorder="0" applyAlignment="1">
      <x:alignment horizontal="right" vertical="center" wrapText="0"/>
    </x:xf>
    <x:xf numFmtId="169" fontId="10" fillId="6" borderId="0" xfId="0" applyFont="1" applyBorder="0" applyAlignment="1">
      <x:alignment horizontal="right" vertical="center" wrapText="0"/>
    </x:xf>
    <x:xf numFmtId="172" fontId="7" fillId="3" borderId="0" xfId="0" applyFont="1" applyBorder="0" applyAlignment="1">
      <x:alignment horizontal="right" vertical="center" wrapText="0"/>
    </x:xf>
    <x:xf numFmtId="173" fontId="7" fillId="3" borderId="0" xfId="0" applyFont="1" applyBorder="0" applyAlignment="1">
      <x:alignment horizontal="right" vertical="center" wrapText="0"/>
    </x:xf>
    <x:xf numFmtId="164" fontId="11" fillId="3" borderId="0" xfId="0" applyFont="1" applyBorder="0" applyAlignment="1">
      <x:alignment horizontal="right" vertical="center" wrapText="0"/>
    </x:xf>
    <x:xf numFmtId="166" fontId="10" fillId="6" borderId="0" xfId="0" applyFont="1" applyBorder="0" applyAlignment="1">
      <x:alignment horizontal="right" vertical="center" wrapText="0"/>
    </x:xf>
    <x:xf numFmtId="170" fontId="24" fillId="3" borderId="0" xfId="0" applyFont="1" applyBorder="0" applyAlignment="1">
      <x:alignment horizontal="right" vertical="center" wrapText="0"/>
    </x:xf>
    <x:xf numFmtId="164" fontId="28" fillId="3" borderId="0" xfId="0" applyFont="1" applyBorder="0" applyAlignment="0">
      <x:alignment horizontal="general" vertical="bottom" wrapText="0"/>
    </x:xf>
    <x:xf numFmtId="164" fontId="21" fillId="3" borderId="0" xfId="0" applyFont="1" applyBorder="1" applyAlignment="1">
      <x:alignment horizontal="left" vertical="top" wrapText="1"/>
    </x:xf>
    <x:xf numFmtId="164" fontId="25" fillId="3" borderId="0" xfId="0" applyFont="1" applyBorder="1" applyAlignment="1">
      <x:alignment horizontal="left" vertical="top" wrapText="1"/>
    </x:xf>
    <x:xf numFmtId="166" fontId="29" fillId="3" borderId="0" xfId="0" applyFont="1" applyBorder="0" applyAlignment="1">
      <x:alignment horizontal="right" vertical="center" wrapText="0"/>
    </x:xf>
    <x:xf numFmtId="170" fontId="29" fillId="3" borderId="0" xfId="0" applyFont="1" applyBorder="0" applyAlignment="1">
      <x:alignment horizontal="right" vertical="center" wrapText="0"/>
    </x:xf>
    <x:xf numFmtId="166" fontId="7" fillId="3" borderId="0" xfId="0" applyFont="1" applyBorder="0" applyAlignment="1">
      <x:alignment horizontal="right" vertical="center" wrapText="0"/>
    </x:xf>
    <x:xf numFmtId="168" fontId="29" fillId="3" borderId="0" xfId="0" applyFont="1" applyBorder="0" applyAlignment="1">
      <x:alignment horizontal="right" vertical="center" wrapText="0"/>
    </x:xf>
    <x:xf numFmtId="169" fontId="29" fillId="6" borderId="0" xfId="0" applyFont="1" applyBorder="0" applyAlignment="1">
      <x:alignment horizontal="right" vertical="center" wrapText="0"/>
    </x:xf>
    <x:xf numFmtId="165" fontId="29" fillId="6" borderId="0" xfId="0" applyFont="1" applyBorder="0" applyAlignment="1">
      <x:alignment horizontal="right" vertical="center" wrapText="0"/>
    </x:xf>
    <x:xf numFmtId="169" fontId="9" fillId="3" borderId="0" xfId="0" applyFont="1" applyBorder="0" applyAlignment="1">
      <x:alignment horizontal="right" vertical="center" wrapText="0"/>
    </x:xf>
    <x:xf numFmtId="170" fontId="9" fillId="3" borderId="0" xfId="0" applyFont="1" applyBorder="0" applyAlignment="1">
      <x:alignment horizontal="right" vertical="center" wrapText="0"/>
    </x:xf>
    <x:xf numFmtId="164" fontId="30" fillId="3" borderId="0" xfId="0" applyFont="1" applyBorder="0" applyAlignment="0">
      <x:alignment horizontal="general" vertical="bottom" wrapText="0"/>
    </x:xf>
    <x:xf numFmtId="164" fontId="15" fillId="3" borderId="0" xfId="0" applyFont="1" applyBorder="0" applyAlignment="0">
      <x:alignment horizontal="general" vertical="bottom" wrapText="0"/>
    </x:xf>
    <x:xf numFmtId="164" fontId="21" fillId="3" borderId="0" xfId="0" applyFont="1" applyBorder="0" applyAlignment="1">
      <x:alignment horizontal="left" vertical="top" wrapText="1"/>
    </x:xf>
    <x:xf numFmtId="164" fontId="31" fillId="3" borderId="0" xfId="0" applyFont="1" applyBorder="0" applyAlignment="0">
      <x:alignment horizontal="general" vertical="bottom" wrapText="0"/>
    </x:xf>
    <x:xf numFmtId="164" fontId="28" fillId="3" borderId="0" xfId="0" applyFont="1" applyBorder="1" applyAlignment="0">
      <x:alignment horizontal="general" vertical="bottom" wrapText="0"/>
    </x:xf>
    <x:xf numFmtId="169" fontId="7" fillId="3" borderId="0" xfId="0" applyFont="1" applyBorder="0" applyAlignment="1">
      <x:alignment horizontal="right" vertical="center" wrapText="0"/>
    </x:xf>
    <x:xf numFmtId="171" fontId="7" fillId="3" borderId="0" xfId="0" applyFont="1" applyBorder="0" applyAlignment="1">
      <x:alignment horizontal="right" vertical="center" wrapText="0"/>
    </x:xf>
    <x:xf numFmtId="164" fontId="32" fillId="3" borderId="0" xfId="0" applyFont="1" applyBorder="0" applyAlignment="1">
      <x:alignment horizontal="right" vertical="center" wrapText="0"/>
    </x:xf>
    <x:xf numFmtId="164" fontId="23" fillId="3" borderId="0" xfId="0" applyFont="1" applyBorder="0" applyAlignment="0">
      <x:alignment horizontal="general" vertical="bottom" wrapText="0"/>
    </x:xf>
    <x:xf numFmtId="164" fontId="0" fillId="7" borderId="0" xfId="0" applyNumberFormat="1" applyFont="1" applyFill="1" applyBorder="1" applyAlignment="1">
      <x:alignment horizontal="general" vertical="bottom" wrapText="0"/>
    </x:xf>
    <x:xf numFmtId="164" fontId="7" fillId="7" borderId="0" xfId="0" applyNumberFormat="1" applyFont="1" applyFill="1" applyBorder="1" applyAlignment="1">
      <x:alignment horizontal="general" vertical="bottom" wrapText="0"/>
    </x:xf>
    <x:xf numFmtId="164" fontId="7" fillId="8" borderId="0" xfId="0" applyNumberFormat="1" applyFont="1" applyFill="1" applyBorder="1" applyAlignment="1">
      <x:alignment horizontal="general" vertical="bottom" wrapText="0"/>
    </x:xf>
    <x:xf numFmtId="164" fontId="4" fillId="8" borderId="0" xfId="0" applyNumberFormat="1" applyFont="1" applyFill="1" applyBorder="1" applyAlignment="1">
      <x:alignment horizontal="general" vertical="bottom" wrapText="0"/>
    </x:xf>
    <x:xf numFmtId="164" fontId="33" fillId="7" borderId="0" xfId="0" applyNumberFormat="1" applyFont="1" applyFill="1" applyBorder="1" applyAlignment="1">
      <x:alignment horizontal="general" vertical="bottom" wrapText="0"/>
    </x:xf>
    <x:xf numFmtId="164" fontId="33" fillId="7" borderId="0" xfId="0" applyNumberFormat="1" applyFont="1" applyFill="1" applyBorder="1" applyAlignment="1">
      <x:alignment horizontal="general" vertical="bottom" wrapText="1"/>
    </x:xf>
    <x:xf numFmtId="200" fontId="7" fillId="7" borderId="0" xfId="0" applyNumberFormat="1" applyFont="1" applyFill="1" applyBorder="1" applyAlignment="1">
      <x:alignment horizontal="general" vertical="bottom" wrapText="0"/>
    </x:xf>
    <x:xf numFmtId="164" fontId="7" fillId="7" borderId="0" xfId="0" applyNumberFormat="1" applyFont="1" applyFill="1" applyBorder="1" applyAlignment="1">
      <x:alignment horizontal="general" vertical="bottom" wrapText="1"/>
    </x:xf>
    <x:xf numFmtId="200" fontId="16" fillId="7" borderId="0" xfId="0" applyNumberFormat="1" applyFont="1" applyFill="1" applyBorder="1" applyAlignment="1">
      <x:alignment horizontal="general" vertical="bottom" wrapText="0"/>
    </x:xf>
    <x:xf numFmtId="200" fontId="16" fillId="9" borderId="0" xfId="0" applyNumberFormat="1" applyFont="1" applyFill="1" applyBorder="1" applyAlignment="1">
      <x:alignment horizontal="general" vertical="bottom" wrapText="0"/>
    </x:xf>
    <x:xf numFmtId="201" fontId="7" fillId="7" borderId="0" xfId="0" applyNumberFormat="1" applyFont="1" applyFill="1" applyBorder="1" applyAlignment="1">
      <x:alignment horizontal="general" vertical="bottom" wrapText="0"/>
    </x:xf>
    <x:xf numFmtId="201" fontId="16" fillId="7" borderId="0" xfId="0" applyNumberFormat="1" applyFont="1" applyFill="1" applyBorder="1" applyAlignment="1">
      <x:alignment horizontal="general" vertical="bottom" wrapText="0"/>
    </x:xf>
    <x:xf numFmtId="201" fontId="16" fillId="9" borderId="0" xfId="0" applyNumberFormat="1" applyFont="1" applyFill="1" applyBorder="1" applyAlignment="1">
      <x:alignment horizontal="general" vertical="bottom" wrapText="0"/>
    </x:xf>
    <x:xf numFmtId="202" fontId="7" fillId="7" borderId="0" xfId="0" applyNumberFormat="1" applyFont="1" applyFill="1" applyBorder="1" applyAlignment="1">
      <x:alignment horizontal="general" vertical="bottom" wrapText="0"/>
    </x:xf>
    <x:xf numFmtId="202" fontId="16" fillId="7" borderId="0" xfId="0" applyNumberFormat="1" applyFont="1" applyFill="1" applyBorder="1" applyAlignment="1">
      <x:alignment horizontal="general" vertical="bottom" wrapText="0"/>
    </x:xf>
    <x:xf numFmtId="202" fontId="16" fillId="9" borderId="0" xfId="0" applyNumberFormat="1" applyFont="1" applyFill="1" applyBorder="1" applyAlignment="1">
      <x:alignment horizontal="general" vertical="bottom" wrapText="0"/>
    </x:xf>
    <x:xf numFmtId="203" fontId="7" fillId="7" borderId="0" xfId="0" applyNumberFormat="1" applyFont="1" applyFill="1" applyBorder="1" applyAlignment="1">
      <x:alignment horizontal="general" vertical="bottom" wrapText="0"/>
    </x:xf>
    <x:xf numFmtId="203" fontId="16" fillId="7" borderId="0" xfId="0" applyNumberFormat="1" applyFont="1" applyFill="1" applyBorder="1" applyAlignment="1">
      <x:alignment horizontal="general" vertical="bottom" wrapText="0"/>
    </x:xf>
    <x:xf numFmtId="203" fontId="16" fillId="9" borderId="0" xfId="0" applyNumberFormat="1" applyFont="1" applyFill="1" applyBorder="1" applyAlignment="1">
      <x:alignment horizontal="general" vertical="bottom" wrapText="0"/>
    </x:xf>
    <x:xf numFmtId="164" fontId="7" fillId="10" borderId="0" xfId="0" applyNumberFormat="1" applyFont="1" applyFill="1" applyBorder="1" applyAlignment="1">
      <x:alignment horizontal="general" vertical="bottom" wrapText="0"/>
    </x:xf>
    <x:xf numFmtId="164" fontId="8" fillId="10" borderId="0" xfId="0" applyNumberFormat="1" applyFont="1" applyFill="1" applyBorder="1" applyAlignment="1">
      <x:alignment horizontal="general" vertical="bottom" wrapText="0"/>
    </x:xf>
    <x:xf numFmtId="164" fontId="8" fillId="10" borderId="0" xfId="0" applyNumberFormat="1" applyFont="1" applyFill="1" applyBorder="1" applyAlignment="1">
      <x:alignment horizontal="left" vertical="bottom" wrapText="0"/>
    </x:xf>
    <x:xf numFmtId="164" fontId="7" fillId="7" borderId="0" xfId="0" applyNumberFormat="1" applyFont="1" applyFill="1" applyBorder="1" applyAlignment="1">
      <x:alignment horizontal="general" vertical="top" wrapText="1"/>
    </x:xf>
    <x:xf numFmtId="164" fontId="4" fillId="7" borderId="0" xfId="0" applyNumberFormat="1" applyFont="1" applyFill="1" applyBorder="1" applyAlignment="1">
      <x:alignment horizontal="left" vertical="center" wrapText="0"/>
    </x:xf>
    <x:xf numFmtId="164" fontId="5" fillId="7" borderId="0" xfId="0" applyNumberFormat="1" applyFont="1" applyFill="1" applyBorder="1" applyAlignment="1">
      <x:alignment horizontal="general" vertical="bottom" wrapText="0"/>
    </x:xf>
    <x:xf numFmtId="164" fontId="13" fillId="7" borderId="0" xfId="0" applyNumberFormat="1" applyFont="1" applyFill="1" applyBorder="1" applyAlignment="1">
      <x:alignment horizontal="general" vertical="bottom" wrapText="0"/>
    </x:xf>
    <x:xf numFmtId="164" fontId="8" fillId="7" borderId="0" xfId="0" applyNumberFormat="1" applyFont="1" applyFill="1" applyBorder="1" applyAlignment="1">
      <x:alignment horizontal="general" vertical="bottom" wrapText="0"/>
    </x:xf>
    <x:xf numFmtId="167" fontId="9" fillId="7" borderId="0" xfId="0" applyNumberFormat="1" applyFont="1" applyFill="1" applyBorder="1" applyAlignment="1">
      <x:alignment horizontal="right" vertical="center" wrapText="0"/>
    </x:xf>
    <x:xf numFmtId="164" fontId="20" fillId="7" borderId="0" xfId="0" applyNumberFormat="1" applyFont="1" applyFill="1" applyBorder="1" applyAlignment="1">
      <x:alignment horizontal="right" vertical="center" wrapText="0"/>
    </x:xf>
    <x:xf numFmtId="164" fontId="8" fillId="7" borderId="0" xfId="0" applyNumberFormat="1" applyFont="1" applyFill="1" applyBorder="1" applyAlignment="1">
      <x:alignment horizontal="right" vertical="center" wrapText="0"/>
    </x:xf>
    <x:xf numFmtId="168" fontId="16" fillId="7" borderId="0" xfId="0" applyNumberFormat="1" applyFont="1" applyFill="1" applyBorder="1" applyAlignment="1">
      <x:alignment horizontal="right" vertical="center" wrapText="0"/>
    </x:xf>
    <x:xf numFmtId="168" fontId="8" fillId="7" borderId="0" xfId="0" applyNumberFormat="1" applyFont="1" applyFill="1" applyBorder="1" applyAlignment="1">
      <x:alignment horizontal="right" vertical="center" wrapText="0"/>
    </x:xf>
    <x:xf numFmtId="164" fontId="21" fillId="7" borderId="0" xfId="0" applyNumberFormat="1" applyFont="1" applyFill="1" applyBorder="1" applyAlignment="1">
      <x:alignment horizontal="general" vertical="bottom" wrapText="0"/>
    </x:xf>
    <x:xf numFmtId="169" fontId="16" fillId="7" borderId="0" xfId="0" applyNumberFormat="1" applyFont="1" applyFill="1" applyBorder="1" applyAlignment="1">
      <x:alignment horizontal="right" vertical="center" wrapText="0"/>
    </x:xf>
    <x:xf numFmtId="169" fontId="8" fillId="7" borderId="0" xfId="0" applyNumberFormat="1" applyFont="1" applyFill="1" applyBorder="1" applyAlignment="1">
      <x:alignment horizontal="right" vertical="center" wrapText="0"/>
    </x:xf>
    <x:xf numFmtId="166" fontId="16" fillId="7" borderId="0" xfId="0" applyNumberFormat="1" applyFont="1" applyFill="1" applyBorder="1" applyAlignment="1">
      <x:alignment horizontal="right" vertical="center" wrapText="0"/>
    </x:xf>
    <x:xf numFmtId="166" fontId="8" fillId="7" borderId="0" xfId="0" applyNumberFormat="1" applyFont="1" applyFill="1" applyBorder="1" applyAlignment="1">
      <x:alignment horizontal="right" vertical="center" wrapText="0"/>
    </x:xf>
    <x:xf numFmtId="170" fontId="16" fillId="7" borderId="0" xfId="0" applyNumberFormat="1" applyFont="1" applyFill="1" applyBorder="1" applyAlignment="1">
      <x:alignment horizontal="right" vertical="center" wrapText="0"/>
    </x:xf>
    <x:xf numFmtId="170" fontId="8" fillId="7" borderId="0" xfId="0" applyNumberFormat="1" applyFont="1" applyFill="1" applyBorder="1" applyAlignment="1">
      <x:alignment horizontal="right" vertical="center" wrapText="0"/>
    </x:xf>
    <x:xf numFmtId="171" fontId="16" fillId="7" borderId="0" xfId="0" applyNumberFormat="1" applyFont="1" applyFill="1" applyBorder="1" applyAlignment="1">
      <x:alignment horizontal="right" vertical="center" wrapText="0"/>
    </x:xf>
    <x:xf numFmtId="172" fontId="16" fillId="7" borderId="0" xfId="0" applyNumberFormat="1" applyFont="1" applyFill="1" applyBorder="1" applyAlignment="1">
      <x:alignment horizontal="right" vertical="center" wrapText="0"/>
    </x:xf>
    <x:xf numFmtId="167" fontId="16" fillId="7" borderId="0" xfId="0" applyNumberFormat="1" applyFont="1" applyFill="1" applyBorder="1" applyAlignment="1">
      <x:alignment horizontal="right" vertical="center" wrapText="0"/>
    </x:xf>
    <x:xf numFmtId="164" fontId="8" fillId="7" borderId="0" xfId="0" applyNumberFormat="1" applyFont="1" applyFill="1" applyBorder="1" applyAlignment="1">
      <x:alignment horizontal="left" vertical="center" wrapText="0"/>
    </x:xf>
    <x:xf numFmtId="164" fontId="22" fillId="7" borderId="0" xfId="0" applyNumberFormat="1" applyFont="1" applyFill="1" applyBorder="1" applyAlignment="1">
      <x:alignment horizontal="general" vertical="bottom" wrapText="0"/>
    </x:xf>
    <x:xf numFmtId="167" fontId="8" fillId="7" borderId="0" xfId="0" applyNumberFormat="1" applyFont="1" applyFill="1" applyBorder="1" applyAlignment="1">
      <x:alignment horizontal="right" vertical="center" wrapText="0"/>
    </x:xf>
    <x:xf numFmtId="168" fontId="7" fillId="7" borderId="0" xfId="0" applyNumberFormat="1" applyFont="1" applyFill="1" applyBorder="1" applyAlignment="1">
      <x:alignment horizontal="right" vertical="center" wrapText="0"/>
    </x:xf>
    <x:xf numFmtId="169" fontId="7" fillId="7" borderId="0" xfId="0" applyNumberFormat="1" applyFont="1" applyFill="1" applyBorder="1" applyAlignment="1">
      <x:alignment horizontal="right" vertical="center" wrapText="0"/>
    </x:xf>
    <x:xf numFmtId="166" fontId="7" fillId="7" borderId="0" xfId="0" applyNumberFormat="1" applyFont="1" applyFill="1" applyBorder="1" applyAlignment="1">
      <x:alignment horizontal="right" vertical="center" wrapText="0"/>
    </x:xf>
    <x:xf numFmtId="170" fontId="7" fillId="7" borderId="0" xfId="0" applyNumberFormat="1" applyFont="1" applyFill="1" applyBorder="1" applyAlignment="1">
      <x:alignment horizontal="right" vertical="center" wrapText="0"/>
    </x:xf>
    <x:xf numFmtId="171" fontId="7" fillId="7" borderId="0" xfId="0" applyNumberFormat="1" applyFont="1" applyFill="1" applyBorder="1" applyAlignment="1">
      <x:alignment horizontal="right" vertical="center" wrapText="0"/>
    </x:xf>
    <x:xf numFmtId="172" fontId="7" fillId="7" borderId="0" xfId="0" applyNumberFormat="1" applyFont="1" applyFill="1" applyBorder="1" applyAlignment="1">
      <x:alignment horizontal="right" vertical="center" wrapText="0"/>
    </x:xf>
    <x:xf numFmtId="167" fontId="7" fillId="7" borderId="0" xfId="0" applyNumberFormat="1" applyFont="1" applyFill="1" applyBorder="1" applyAlignment="1">
      <x:alignment horizontal="right" vertical="center" wrapText="0"/>
    </x:xf>
    <x:xf numFmtId="164" fontId="8" fillId="8" borderId="0" xfId="0" applyNumberFormat="1" applyFont="1" applyFill="1" applyBorder="1" applyAlignment="1">
      <x:alignment horizontal="left" vertical="center" wrapText="0"/>
    </x:xf>
    <x:xf numFmtId="164" fontId="4" fillId="8" borderId="0" xfId="0" applyNumberFormat="1" applyFont="1" applyFill="1" applyBorder="1" applyAlignment="1">
      <x:alignment horizontal="left" vertical="center" wrapText="0"/>
    </x:xf>
    <x:xf numFmtId="164" fontId="34" fillId="7" borderId="0" xfId="0" applyNumberFormat="1" applyFont="1" applyFill="1" applyBorder="1" applyAlignment="1">
      <x:alignment horizontal="general" vertical="bottom" wrapText="0"/>
    </x:xf>
    <x:xf numFmtId="164" fontId="34" fillId="7" borderId="0" xfId="0" applyNumberFormat="1" applyFont="1" applyFill="1" applyBorder="1" applyAlignment="1">
      <x:alignment horizontal="general" vertical="bottom" wrapText="1"/>
    </x:xf>
    <x:xf numFmtId="167" fontId="9" fillId="9" borderId="0" xfId="0" applyNumberFormat="1" applyFont="1" applyFill="1" applyBorder="1" applyAlignment="1">
      <x:alignment horizontal="right" vertical="center" wrapText="0"/>
    </x:xf>
    <x:xf numFmtId="202" fontId="7" fillId="7" borderId="0" xfId="0" applyNumberFormat="1" applyFont="1" applyFill="1" applyBorder="1" applyAlignment="1">
      <x:alignment horizontal="right" vertical="center" wrapText="0"/>
    </x:xf>
    <x:xf numFmtId="202" fontId="16" fillId="7" borderId="0" xfId="0" applyNumberFormat="1" applyFont="1" applyFill="1" applyBorder="1" applyAlignment="1">
      <x:alignment horizontal="right" vertical="center" wrapText="0"/>
    </x:xf>
    <x:xf numFmtId="202" fontId="16" fillId="9" borderId="0" xfId="0" applyNumberFormat="1" applyFont="1" applyFill="1" applyBorder="1" applyAlignment="1">
      <x:alignment horizontal="right" vertical="center" wrapText="0"/>
    </x:xf>
    <x:xf numFmtId="202" fontId="8" fillId="7" borderId="0" xfId="0" applyNumberFormat="1" applyFont="1" applyFill="1" applyBorder="1" applyAlignment="1">
      <x:alignment horizontal="right" vertical="center" wrapText="0"/>
    </x:xf>
    <x:xf numFmtId="203" fontId="7" fillId="7" borderId="0" xfId="0" applyNumberFormat="1" applyFont="1" applyFill="1" applyBorder="1" applyAlignment="1">
      <x:alignment horizontal="right" vertical="center" wrapText="0"/>
    </x:xf>
    <x:xf numFmtId="203" fontId="16" fillId="7" borderId="0" xfId="0" applyNumberFormat="1" applyFont="1" applyFill="1" applyBorder="1" applyAlignment="1">
      <x:alignment horizontal="right" vertical="center" wrapText="0"/>
    </x:xf>
    <x:xf numFmtId="203" fontId="16" fillId="9" borderId="0" xfId="0" applyNumberFormat="1" applyFont="1" applyFill="1" applyBorder="1" applyAlignment="1">
      <x:alignment horizontal="right" vertical="center" wrapText="0"/>
    </x:xf>
    <x:xf numFmtId="203" fontId="8" fillId="7" borderId="0" xfId="0" applyNumberFormat="1" applyFont="1" applyFill="1" applyBorder="1" applyAlignment="1">
      <x:alignment horizontal="right" vertical="center" wrapText="0"/>
    </x:xf>
    <x:xf numFmtId="204" fontId="7" fillId="7" borderId="0" xfId="0" applyNumberFormat="1" applyFont="1" applyFill="1" applyBorder="1" applyAlignment="1">
      <x:alignment horizontal="right" vertical="center" wrapText="0"/>
    </x:xf>
    <x:xf numFmtId="204" fontId="16" fillId="7" borderId="0" xfId="0" applyNumberFormat="1" applyFont="1" applyFill="1" applyBorder="1" applyAlignment="1">
      <x:alignment horizontal="right" vertical="center" wrapText="0"/>
    </x:xf>
    <x:xf numFmtId="204" fontId="16" fillId="9" borderId="0" xfId="0" applyNumberFormat="1" applyFont="1" applyFill="1" applyBorder="1" applyAlignment="1">
      <x:alignment horizontal="right" vertical="center" wrapText="0"/>
    </x:xf>
    <x:xf numFmtId="204" fontId="8" fillId="7" borderId="0" xfId="0" applyNumberFormat="1" applyFont="1" applyFill="1" applyBorder="1" applyAlignment="1">
      <x:alignment horizontal="right" vertical="center" wrapText="0"/>
    </x:xf>
    <x:xf numFmtId="202" fontId="8" fillId="7" borderId="0" xfId="0" applyNumberFormat="1" applyFont="1" applyFill="1" applyBorder="1" applyAlignment="1">
      <x:alignment horizontal="general" vertical="bottom" wrapText="0"/>
    </x:xf>
    <x:xf numFmtId="202" fontId="9" fillId="7" borderId="0" xfId="0" applyNumberFormat="1" applyFont="1" applyFill="1" applyBorder="1" applyAlignment="1">
      <x:alignment horizontal="general" vertical="bottom" wrapText="0"/>
    </x:xf>
    <x:xf numFmtId="202" fontId="9" fillId="9" borderId="0" xfId="0" applyNumberFormat="1" applyFont="1" applyFill="1" applyBorder="1" applyAlignment="1">
      <x:alignment horizontal="general" vertical="bottom" wrapText="0"/>
    </x:xf>
    <x:xf numFmtId="169" fontId="7" fillId="10" borderId="0" xfId="0" applyNumberFormat="1" applyFont="1" applyFill="1" applyBorder="1" applyAlignment="1">
      <x:alignment horizontal="right" vertical="center" wrapText="0"/>
    </x:xf>
    <x:xf numFmtId="164" fontId="22" fillId="10" borderId="0" xfId="0" applyNumberFormat="1" applyFont="1" applyFill="1" applyBorder="1" applyAlignment="1">
      <x:alignment horizontal="general" vertical="bottom" wrapText="0"/>
    </x:xf>
    <x:xf numFmtId="169" fontId="8" fillId="10" borderId="0" xfId="0" applyNumberFormat="1" applyFont="1" applyFill="1" applyBorder="1" applyAlignment="1">
      <x:alignment horizontal="right" vertical="center" wrapText="0"/>
    </x:xf>
    <x:xf numFmtId="164" fontId="35" fillId="10" borderId="0" xfId="0" applyNumberFormat="1" applyFont="1" applyFill="1" applyBorder="1" applyAlignment="1">
      <x:alignment horizontal="general" vertical="bottom" wrapText="0"/>
    </x:xf>
    <x:xf numFmtId="169" fontId="8" fillId="10" borderId="0" xfId="0" applyNumberFormat="1" applyFont="1" applyFill="1" applyBorder="1" applyAlignment="1">
      <x:alignment horizontal="left" vertical="center" wrapText="0"/>
    </x:xf>
    <x:xf numFmtId="164" fontId="35" fillId="10" borderId="0" xfId="0" applyNumberFormat="1" applyFont="1" applyFill="1" applyBorder="1" applyAlignment="1">
      <x:alignment horizontal="left" vertical="bottom" wrapText="0"/>
    </x:xf>
    <x:xf numFmtId="172" fontId="16" fillId="9" borderId="0" xfId="0" applyNumberFormat="1" applyFont="1" applyFill="1" applyBorder="1" applyAlignment="1">
      <x:alignment horizontal="right" vertical="center" wrapText="0"/>
    </x:xf>
    <x:xf numFmtId="167" fontId="7" fillId="7" borderId="0" xfId="0" applyNumberFormat="1" applyFont="1" applyFill="1" applyBorder="1" applyAlignment="1">
      <x:alignment horizontal="general" vertical="bottom" wrapText="0"/>
    </x:xf>
    <x:xf numFmtId="167" fontId="16" fillId="7" borderId="0" xfId="0" applyNumberFormat="1" applyFont="1" applyFill="1" applyBorder="1" applyAlignment="1">
      <x:alignment horizontal="general" vertical="bottom" wrapText="0"/>
    </x:xf>
    <x:xf numFmtId="167" fontId="16" fillId="9" borderId="0" xfId="0" applyNumberFormat="1" applyFont="1" applyFill="1" applyBorder="1" applyAlignment="1">
      <x:alignment horizontal="general" vertical="bottom" wrapText="0"/>
    </x:xf>
    <x:xf numFmtId="204" fontId="7" fillId="7" borderId="0" xfId="0" applyNumberFormat="1" applyFont="1" applyFill="1" applyBorder="1" applyAlignment="1">
      <x:alignment horizontal="general" vertical="bottom" wrapText="0"/>
    </x:xf>
    <x:xf numFmtId="204" fontId="16" fillId="7" borderId="0" xfId="0" applyNumberFormat="1" applyFont="1" applyFill="1" applyBorder="1" applyAlignment="1">
      <x:alignment horizontal="general" vertical="bottom" wrapText="0"/>
    </x:xf>
    <x:xf numFmtId="204" fontId="16" fillId="9" borderId="0" xfId="0" applyNumberFormat="1" applyFont="1" applyFill="1" applyBorder="1" applyAlignment="1">
      <x:alignment horizontal="general" vertical="bottom" wrapText="0"/>
    </x:xf>
    <x:xf numFmtId="164" fontId="21" fillId="7" borderId="0" xfId="0" applyNumberFormat="1" applyFont="1" applyFill="1" applyBorder="1" applyAlignment="1">
      <x:alignment horizontal="right" vertical="center" wrapText="0"/>
    </x:xf>
    <x:xf numFmtId="164" fontId="14" fillId="7" borderId="0" xfId="0" applyNumberFormat="1" applyFont="1" applyFill="1" applyBorder="1" applyAlignment="1">
      <x:alignment horizontal="general" vertical="bottom" wrapText="0"/>
    </x:xf>
    <x:xf numFmtId="166" fontId="14" fillId="7" borderId="0" xfId="0" applyNumberFormat="1" applyFont="1" applyFill="1" applyBorder="1" applyAlignment="1">
      <x:alignment horizontal="right" vertical="center" wrapText="0"/>
    </x:xf>
    <x:xf numFmtId="165" fontId="14" fillId="7" borderId="0" xfId="0" applyNumberFormat="1" applyFont="1" applyFill="1" applyBorder="1" applyAlignment="1">
      <x:alignment horizontal="right" vertical="center" wrapText="0"/>
    </x:xf>
    <x:xf numFmtId="164" fontId="10" fillId="7" borderId="0" xfId="0" applyNumberFormat="1" applyFont="1" applyFill="1" applyBorder="1" applyAlignment="1">
      <x:alignment horizontal="general" vertical="bottom" wrapText="0"/>
    </x:xf>
    <x:xf numFmtId="166" fontId="10" fillId="7" borderId="0" xfId="0" applyNumberFormat="1" applyFont="1" applyFill="1" applyBorder="1" applyAlignment="1">
      <x:alignment horizontal="right" vertical="center" wrapText="0"/>
    </x:xf>
    <x:xf numFmtId="164" fontId="26" fillId="7" borderId="0" xfId="0" applyNumberFormat="1" applyFont="1" applyFill="1" applyBorder="1" applyAlignment="1">
      <x:alignment horizontal="general" vertical="bottom" wrapText="0"/>
    </x:xf>
    <x:xf numFmtId="169" fontId="26" fillId="7" borderId="0" xfId="0" applyNumberFormat="1" applyFont="1" applyFill="1" applyBorder="1" applyAlignment="1">
      <x:alignment horizontal="right" vertical="center" wrapText="0"/>
    </x:xf>
    <x:xf numFmtId="164" fontId="24" fillId="7" borderId="0" xfId="0" applyNumberFormat="1" applyFont="1" applyFill="1" applyBorder="1" applyAlignment="1">
      <x:alignment horizontal="general" vertical="bottom" wrapText="0"/>
    </x:xf>
    <x:xf numFmtId="166" fontId="24" fillId="7" borderId="0" xfId="0" applyNumberFormat="1" applyFont="1" applyFill="1" applyBorder="1" applyAlignment="1">
      <x:alignment horizontal="right" vertical="center" wrapText="0"/>
    </x:xf>
    <x:xf numFmtId="164" fontId="25" fillId="7" borderId="0" xfId="0" applyNumberFormat="1" applyFont="1" applyFill="1" applyBorder="1" applyAlignment="1">
      <x:alignment horizontal="general" vertical="bottom" wrapText="0"/>
    </x:xf>
    <x:xf numFmtId="166" fontId="25" fillId="7" borderId="0" xfId="0" applyNumberFormat="1" applyFont="1" applyFill="1" applyBorder="1" applyAlignment="1">
      <x:alignment horizontal="right" vertical="center" wrapText="0"/>
    </x:xf>
    <x:xf numFmtId="171" fontId="24" fillId="7" borderId="0" xfId="0" applyNumberFormat="1" applyFont="1" applyFill="1" applyBorder="1" applyAlignment="1">
      <x:alignment horizontal="right" vertical="center" wrapText="0"/>
    </x:xf>
    <x:xf numFmtId="165" fontId="10" fillId="7" borderId="0" xfId="0" applyNumberFormat="1" applyFont="1" applyFill="1" applyBorder="1" applyAlignment="1">
      <x:alignment horizontal="right" vertical="center" wrapText="0"/>
    </x:xf>
    <x:xf numFmtId="164" fontId="11" fillId="7" borderId="0" xfId="0" applyNumberFormat="1" applyFont="1" applyFill="1" applyBorder="1" applyAlignment="1">
      <x:alignment horizontal="general" vertical="bottom" wrapText="0"/>
    </x:xf>
    <x:xf numFmtId="166" fontId="11" fillId="7" borderId="0" xfId="0" applyNumberFormat="1" applyFont="1" applyFill="1" applyBorder="1" applyAlignment="1">
      <x:alignment horizontal="right" vertical="center" wrapText="0"/>
    </x:xf>
    <x:xf numFmtId="164" fontId="22" fillId="7" borderId="0" xfId="0" applyNumberFormat="1" applyFont="1" applyFill="1" applyBorder="1" applyAlignment="1">
      <x:alignment horizontal="right" vertical="center" wrapText="0"/>
    </x:xf>
    <x:xf numFmtId="165" fontId="7" fillId="7" borderId="0" xfId="0" applyNumberFormat="1" applyFont="1" applyFill="1" applyBorder="1" applyAlignment="1">
      <x:alignment horizontal="right" vertical="center" wrapText="0"/>
    </x:xf>
    <x:xf numFmtId="169" fontId="22" fillId="7" borderId="0" xfId="0" applyNumberFormat="1" applyFont="1" applyFill="1" applyBorder="1" applyAlignment="1">
      <x:alignment horizontal="right" vertical="center" wrapText="0"/>
    </x:xf>
    <x:xf numFmtId="165" fontId="8" fillId="7" borderId="0" xfId="0" applyNumberFormat="1" applyFont="1" applyFill="1" applyBorder="1" applyAlignment="1">
      <x:alignment horizontal="right" vertical="center" wrapText="0"/>
    </x:xf>
    <x:xf numFmtId="200" fontId="22" fillId="7" borderId="0" xfId="0" applyNumberFormat="1" applyFont="1" applyFill="1" applyBorder="1" applyAlignment="1">
      <x:alignment horizontal="right" vertical="center" wrapText="0"/>
    </x:xf>
    <x:xf numFmtId="173" fontId="7" fillId="7" borderId="0" xfId="0" applyNumberFormat="1" applyFont="1" applyFill="1" applyBorder="1" applyAlignment="1">
      <x:alignment horizontal="right" vertical="center" wrapText="0"/>
    </x:xf>
    <x:xf numFmtId="173" fontId="14" fillId="7" borderId="0" xfId="0" applyNumberFormat="1" applyFont="1" applyFill="1" applyBorder="1" applyAlignment="1">
      <x:alignment horizontal="right" vertical="center" wrapText="0"/>
    </x:xf>
    <x:xf numFmtId="202" fontId="14" fillId="7" borderId="0" xfId="0" applyNumberFormat="1" applyFont="1" applyFill="1" applyBorder="1" applyAlignment="1">
      <x:alignment horizontal="right" vertical="center" wrapText="0"/>
    </x:xf>
    <x:xf numFmtId="203" fontId="14" fillId="7" borderId="0" xfId="0" applyNumberFormat="1" applyFont="1" applyFill="1" applyBorder="1" applyAlignment="1">
      <x:alignment horizontal="right" vertical="center" wrapText="0"/>
    </x:xf>
    <x:xf numFmtId="202" fontId="14" fillId="7" borderId="0" xfId="0" applyNumberFormat="1" applyFont="1" applyFill="1" applyBorder="1" applyAlignment="1">
      <x:alignment horizontal="general" vertical="bottom" wrapText="0"/>
    </x:xf>
    <x:xf numFmtId="202" fontId="11" fillId="7" borderId="0" xfId="0" applyNumberFormat="1" applyFont="1" applyFill="1" applyBorder="1" applyAlignment="1">
      <x:alignment horizontal="general" vertical="bottom" wrapText="0"/>
    </x:xf>
    <x:xf numFmtId="203" fontId="22" fillId="7" borderId="0" xfId="0" applyNumberFormat="1" applyFont="1" applyFill="1" applyBorder="1" applyAlignment="1">
      <x:alignment horizontal="right" vertical="center" wrapText="0"/>
    </x:xf>
    <x:xf numFmtId="202" fontId="11" fillId="7" borderId="0" xfId="0" applyNumberFormat="1" applyFont="1" applyFill="1" applyBorder="1" applyAlignment="1">
      <x:alignment horizontal="right" vertical="center" wrapText="0"/>
    </x:xf>
    <x:xf numFmtId="201" fontId="7" fillId="7" borderId="0" xfId="0" applyNumberFormat="1" applyFont="1" applyFill="1" applyBorder="1" applyAlignment="1">
      <x:alignment horizontal="right" vertical="center" wrapText="0"/>
    </x:xf>
    <x:xf numFmtId="164" fontId="8" fillId="7" borderId="1" xfId="0" applyNumberFormat="1" applyFont="1" applyFill="1" applyBorder="1" applyAlignment="1">
      <x:alignment horizontal="general" vertical="bottom" wrapText="0"/>
    </x:xf>
    <x:xf numFmtId="202" fontId="8" fillId="7" borderId="1" xfId="0" applyNumberFormat="1" applyFont="1" applyFill="1" applyBorder="1" applyAlignment="1">
      <x:alignment horizontal="right" vertical="center" wrapText="0"/>
    </x:xf>
    <x:xf numFmtId="202" fontId="11" fillId="7" borderId="1" xfId="0" applyNumberFormat="1" applyFont="1" applyFill="1" applyBorder="1" applyAlignment="1">
      <x:alignment horizontal="general" vertical="bottom" wrapText="0"/>
    </x:xf>
    <x:xf numFmtId="202" fontId="11" fillId="7" borderId="1" xfId="0" applyNumberFormat="1" applyFont="1" applyFill="1" applyBorder="1" applyAlignment="1">
      <x:alignment horizontal="right" vertical="center" wrapText="0"/>
    </x:xf>
    <x:xf numFmtId="202" fontId="8" fillId="7" borderId="1" xfId="0" applyNumberFormat="1" applyFont="1" applyFill="1" applyBorder="1" applyAlignment="1">
      <x:alignment horizontal="general" vertical="bottom" wrapText="0"/>
    </x:xf>
    <x:xf numFmtId="169" fontId="14" fillId="7" borderId="0" xfId="0" applyNumberFormat="1" applyFont="1" applyFill="1" applyBorder="1" applyAlignment="1">
      <x:alignment horizontal="right" vertical="center" wrapText="0"/>
    </x:xf>
    <x:xf numFmtId="172" fontId="14" fillId="7" borderId="0" xfId="0" applyNumberFormat="1" applyFont="1" applyFill="1" applyBorder="1" applyAlignment="1">
      <x:alignment horizontal="right" vertical="center" wrapText="0"/>
    </x:xf>
    <x:xf numFmtId="169" fontId="10" fillId="7" borderId="0" xfId="0" applyNumberFormat="1" applyFont="1" applyFill="1" applyBorder="1" applyAlignment="1">
      <x:alignment horizontal="right" vertical="center" wrapText="0"/>
    </x:xf>
    <x:xf numFmtId="169" fontId="24" fillId="7" borderId="0" xfId="0" applyNumberFormat="1" applyFont="1" applyFill="1" applyBorder="1" applyAlignment="1">
      <x:alignment horizontal="right" vertical="center" wrapText="0"/>
    </x:xf>
    <x:xf numFmtId="164" fontId="20" fillId="7" borderId="0" xfId="0" applyNumberFormat="1" applyFont="1" applyFill="1" applyBorder="1" applyAlignment="1">
      <x:alignment horizontal="general" vertical="bottom" wrapText="0"/>
    </x:xf>
    <x:xf numFmtId="164" fontId="11" fillId="7" borderId="0" xfId="0" applyNumberFormat="1" applyFont="1" applyFill="1" applyBorder="1" applyAlignment="1">
      <x:alignment horizontal="right" vertical="center" wrapText="0"/>
    </x:xf>
    <x:xf numFmtId="170" fontId="24" fillId="7" borderId="0" xfId="0" applyNumberFormat="1" applyFont="1" applyFill="1" applyBorder="1" applyAlignment="1">
      <x:alignment horizontal="right" vertical="center" wrapText="0"/>
    </x:xf>
    <x:xf numFmtId="170" fontId="14" fillId="7" borderId="0" xfId="0" applyNumberFormat="1" applyFont="1" applyFill="1" applyBorder="1" applyAlignment="1">
      <x:alignment horizontal="right" vertical="center" wrapText="0"/>
    </x:xf>
    <x:xf numFmtId="165" fontId="16" fillId="7" borderId="0" xfId="0" applyNumberFormat="1" applyFont="1" applyFill="1" applyBorder="1" applyAlignment="1">
      <x:alignment horizontal="right" vertical="center" wrapText="0"/>
    </x:xf>
    <x:xf numFmtId="203" fontId="11" fillId="7" borderId="0" xfId="0" applyNumberFormat="1" applyFont="1" applyFill="1" applyBorder="1" applyAlignment="1">
      <x:alignment horizontal="right" vertical="center" wrapText="0"/>
    </x:xf>
    <x:xf numFmtId="204" fontId="14" fillId="7" borderId="0" xfId="0" applyNumberFormat="1" applyFont="1" applyFill="1" applyBorder="1" applyAlignment="1">
      <x:alignment horizontal="right" vertical="center" wrapText="0"/>
    </x:xf>
    <x:xf numFmtId="169" fontId="8" fillId="7" borderId="0" xfId="0" applyNumberFormat="1" applyFont="1" applyFill="1" applyBorder="1" applyAlignment="1">
      <x:alignment horizontal="right" vertical="center" wrapText="1"/>
    </x:xf>
    <x:xf numFmtId="173" fontId="7" fillId="7" borderId="0" xfId="0" applyNumberFormat="1" applyFont="1" applyFill="1" applyBorder="1" applyAlignment="1">
      <x:alignment horizontal="general" vertical="bottom" wrapText="0"/>
    </x:xf>
    <x:xf numFmtId="173" fontId="14" fillId="7" borderId="0" xfId="0" applyNumberFormat="1" applyFont="1" applyFill="1" applyBorder="1" applyAlignment="1">
      <x:alignment horizontal="general" vertical="bottom" wrapText="0"/>
    </x:xf>
    <x:xf numFmtId="173" fontId="8" fillId="7" borderId="0" xfId="0" applyNumberFormat="1" applyFont="1" applyFill="1" applyBorder="1" applyAlignment="1">
      <x:alignment horizontal="general" vertical="bottom" wrapText="0"/>
    </x:xf>
    <x:xf numFmtId="173" fontId="11" fillId="7" borderId="0" xfId="0" applyNumberFormat="1" applyFont="1" applyFill="1" applyBorder="1" applyAlignment="1">
      <x:alignment horizontal="general" vertical="bottom" wrapText="0"/>
    </x:xf>
    <x:xf numFmtId="201" fontId="8" fillId="7" borderId="0" xfId="0" applyNumberFormat="1" applyFont="1" applyFill="1" applyBorder="1" applyAlignment="1">
      <x:alignment horizontal="right" vertical="center" wrapText="0"/>
    </x:xf>
    <x:xf numFmtId="201" fontId="11" fillId="7" borderId="0" xfId="0" applyNumberFormat="1" applyFont="1" applyFill="1" applyBorder="1" applyAlignment="1">
      <x:alignment horizontal="right" vertical="center" wrapText="0"/>
    </x:xf>
    <x:xf numFmtId="170" fontId="20" fillId="7" borderId="0" xfId="0" applyNumberFormat="1" applyFont="1" applyFill="1" applyBorder="1" applyAlignment="1">
      <x:alignment horizontal="right" vertical="center" wrapText="0"/>
    </x:xf>
    <x:xf numFmtId="204" fontId="14" fillId="7" borderId="0" xfId="0" applyNumberFormat="1" applyFont="1" applyFill="1" applyBorder="1" applyAlignment="1">
      <x:alignment horizontal="general" vertical="bottom" wrapText="0"/>
    </x:xf>
    <x:xf numFmtId="204" fontId="8" fillId="7" borderId="0" xfId="0" applyNumberFormat="1" applyFont="1" applyFill="1" applyBorder="1" applyAlignment="1">
      <x:alignment horizontal="general" vertical="bottom" wrapText="0"/>
    </x:xf>
    <x:xf numFmtId="204" fontId="11" fillId="7" borderId="0" xfId="0" applyNumberFormat="1" applyFont="1" applyFill="1" applyBorder="1" applyAlignment="1">
      <x:alignment horizontal="general" vertical="bottom" wrapText="0"/>
    </x:xf>
    <x:xf numFmtId="164" fontId="22" fillId="7" borderId="0" xfId="0" applyNumberFormat="1" applyFont="1" applyFill="1" applyBorder="1" applyAlignment="1">
      <x:alignment horizontal="general" vertical="bottom" wrapText="1"/>
    </x:xf>
    <x:xf numFmtId="164" fontId="22" fillId="7" borderId="0" xfId="0" applyNumberFormat="1" applyFont="1" applyFill="1" applyBorder="1" applyAlignment="1">
      <x:alignment horizontal="general" vertical="top" wrapText="1"/>
    </x:xf>
    <x:xf numFmtId="165" fontId="24" fillId="7" borderId="0" xfId="0" applyNumberFormat="1" applyFont="1" applyFill="1" applyBorder="1" applyAlignment="1">
      <x:alignment horizontal="right" vertical="center" wrapText="0"/>
    </x:xf>
    <x:xf numFmtId="166" fontId="29" fillId="7" borderId="0" xfId="0" applyNumberFormat="1" applyFont="1" applyFill="1" applyBorder="1" applyAlignment="1">
      <x:alignment horizontal="right" vertical="center" wrapText="0"/>
    </x:xf>
    <x:xf numFmtId="170" fontId="29" fillId="7" borderId="0" xfId="0" applyNumberFormat="1" applyFont="1" applyFill="1" applyBorder="1" applyAlignment="1">
      <x:alignment horizontal="right" vertical="center" wrapText="0"/>
    </x:xf>
    <x:xf numFmtId="168" fontId="29" fillId="7" borderId="0" xfId="0" applyNumberFormat="1" applyFont="1" applyFill="1" applyBorder="1" applyAlignment="1">
      <x:alignment horizontal="right" vertical="center" wrapText="0"/>
    </x:xf>
    <x:xf numFmtId="169" fontId="29" fillId="7" borderId="0" xfId="0" applyNumberFormat="1" applyFont="1" applyFill="1" applyBorder="1" applyAlignment="1">
      <x:alignment horizontal="right" vertical="center" wrapText="0"/>
    </x:xf>
    <x:xf numFmtId="165" fontId="29" fillId="7" borderId="0" xfId="0" applyNumberFormat="1" applyFont="1" applyFill="1" applyBorder="1" applyAlignment="1">
      <x:alignment horizontal="right" vertical="center" wrapText="0"/>
    </x:xf>
    <x:xf numFmtId="164" fontId="28" fillId="7" borderId="0" xfId="0" applyNumberFormat="1" applyFont="1" applyFill="1" applyBorder="1" applyAlignment="1">
      <x:alignment horizontal="general" vertical="bottom" wrapText="0"/>
    </x:xf>
    <x:xf numFmtId="201" fontId="14" fillId="7" borderId="0" xfId="0" applyNumberFormat="1" applyFont="1" applyFill="1" applyBorder="1" applyAlignment="1">
      <x:alignment horizontal="right" vertical="center" wrapText="0"/>
    </x:xf>
    <x:xf numFmtId="169" fontId="7" fillId="7" borderId="0" xfId="0" applyNumberFormat="1" applyFont="1" applyFill="1" applyBorder="1" applyAlignment="1">
      <x:alignment horizontal="right" vertical="center" wrapText="1"/>
    </x:xf>
    <x:xf numFmtId="169" fontId="9" fillId="7" borderId="0" xfId="0" applyNumberFormat="1" applyFont="1" applyFill="1" applyBorder="1" applyAlignment="1">
      <x:alignment horizontal="right" vertical="center" wrapText="0"/>
    </x:xf>
    <x:xf numFmtId="170" fontId="9" fillId="7" borderId="0" xfId="0" applyNumberFormat="1" applyFont="1" applyFill="1" applyBorder="1" applyAlignment="1">
      <x:alignment horizontal="right" vertical="center" wrapText="0"/>
    </x:xf>
    <x:xf numFmtId="164" fontId="30" fillId="7" borderId="0" xfId="0" applyNumberFormat="1" applyFont="1" applyFill="1" applyBorder="1" applyAlignment="1">
      <x:alignment horizontal="general" vertical="bottom" wrapText="0"/>
    </x:xf>
    <x:xf numFmtId="203" fontId="14" fillId="7" borderId="0" xfId="0" applyNumberFormat="1" applyFont="1" applyFill="1" applyBorder="1" applyAlignment="1">
      <x:alignment horizontal="general" vertical="bottom" wrapText="0"/>
    </x:xf>
    <x:xf numFmtId="201" fontId="14" fillId="7" borderId="0" xfId="0" applyNumberFormat="1" applyFont="1" applyFill="1" applyBorder="1" applyAlignment="1">
      <x:alignment horizontal="general" vertical="bottom" wrapText="0"/>
    </x:xf>
    <x:xf numFmtId="203" fontId="22" fillId="7" borderId="0" xfId="0" applyNumberFormat="1" applyFont="1" applyFill="1" applyBorder="1" applyAlignment="1">
      <x:alignment horizontal="general" vertical="bottom" wrapText="0"/>
    </x:xf>
    <x:xf numFmtId="203" fontId="36" fillId="7" borderId="0" xfId="0" applyNumberFormat="1" applyFont="1" applyFill="1" applyBorder="1" applyAlignment="1">
      <x:alignment horizontal="general" vertical="bottom" wrapText="0"/>
    </x:xf>
    <x:xf numFmtId="164" fontId="15" fillId="7" borderId="0" xfId="0" applyNumberFormat="1" applyFont="1" applyFill="1" applyBorder="1" applyAlignment="1">
      <x:alignment horizontal="general" vertical="bottom" wrapText="0"/>
    </x:xf>
    <x:xf numFmtId="166" fontId="7" fillId="7" borderId="0" xfId="0" applyNumberFormat="1" applyFont="1" applyFill="1" applyBorder="1" applyAlignment="1">
      <x:alignment horizontal="right" vertical="center" wrapText="1"/>
    </x:xf>
    <x:xf numFmtId="166" fontId="7" fillId="7" borderId="0" xfId="0" applyNumberFormat="1" applyFont="1" applyFill="1" applyBorder="1" applyAlignment="1">
      <x:alignment horizontal="right" vertical="top" wrapText="1"/>
    </x:xf>
    <x:xf numFmtId="164" fontId="25" fillId="7" borderId="0" xfId="0" applyNumberFormat="1" applyFont="1" applyFill="1" applyBorder="1" applyAlignment="1">
      <x:alignment horizontal="left" vertical="top" wrapText="1"/>
    </x:xf>
    <x:xf numFmtId="164" fontId="7" fillId="7" borderId="0" xfId="0" applyNumberFormat="1" applyFont="1" applyFill="1" applyBorder="1" applyAlignment="1">
      <x:alignment horizontal="left" vertical="top" wrapText="1"/>
    </x:xf>
    <x:xf numFmtId="164" fontId="21" fillId="7" borderId="0" xfId="0" applyNumberFormat="1" applyFont="1" applyFill="1" applyBorder="1" applyAlignment="1">
      <x:alignment horizontal="left" vertical="top" wrapText="1"/>
    </x:xf>
    <x:xf numFmtId="164" fontId="22" fillId="7" borderId="0" xfId="0" applyNumberFormat="1" applyFont="1" applyFill="1" applyBorder="1" applyAlignment="1">
      <x:alignment horizontal="left" vertical="top" wrapText="1"/>
    </x:xf>
    <x:xf numFmtId="200" fontId="22" fillId="7" borderId="0" xfId="0" applyNumberFormat="1" applyFont="1" applyFill="1" applyBorder="1" applyAlignment="1">
      <x:alignment horizontal="left" vertical="top" wrapText="1"/>
    </x:xf>
    <x:xf numFmtId="202" fontId="22" fillId="7" borderId="0" xfId="0" applyNumberFormat="1" applyFont="1" applyFill="1" applyBorder="1" applyAlignment="1">
      <x:alignment horizontal="left" vertical="top" wrapText="1"/>
    </x:xf>
    <x:xf numFmtId="169" fontId="23" fillId="7" borderId="0" xfId="0" applyNumberFormat="1" applyFont="1" applyFill="1" applyBorder="1" applyAlignment="1">
      <x:alignment horizontal="right" vertical="center" wrapText="0"/>
    </x:xf>
    <x:xf numFmtId="202" fontId="22" fillId="7" borderId="0" xfId="0" applyNumberFormat="1" applyFont="1" applyFill="1" applyBorder="1" applyAlignment="1">
      <x:alignment horizontal="right" vertical="center" wrapText="0"/>
    </x:xf>
    <x:xf numFmtId="202" fontId="8" fillId="10" borderId="0" xfId="0" applyNumberFormat="1" applyFont="1" applyFill="1" applyBorder="1" applyAlignment="1">
      <x:alignment horizontal="general" vertical="bottom" wrapText="0"/>
    </x:xf>
    <x:xf numFmtId="202" fontId="8" fillId="10" borderId="0" xfId="0" applyNumberFormat="1" applyFont="1" applyFill="1" applyBorder="1" applyAlignment="1">
      <x:alignment horizontal="left" vertical="bottom" wrapText="0"/>
    </x:xf>
    <x:xf numFmtId="164" fontId="31" fillId="7" borderId="0" xfId="0" applyNumberFormat="1" applyFont="1" applyFill="1" applyBorder="1" applyAlignment="1">
      <x:alignment horizontal="general" vertical="bottom" wrapText="0"/>
    </x:xf>
    <x:xf numFmtId="164" fontId="8" fillId="7" borderId="0" xfId="0" applyNumberFormat="1" applyFont="1" applyFill="1" applyBorder="1" applyAlignment="1">
      <x:alignment horizontal="general" vertical="bottom" wrapText="1"/>
    </x:xf>
    <x:xf numFmtId="164" fontId="8" fillId="7" borderId="0" xfId="0" applyNumberFormat="1" applyFont="1" applyFill="1" applyBorder="1" applyAlignment="1">
      <x:alignment horizontal="general" vertical="top" wrapText="1"/>
    </x:xf>
    <x:xf numFmtId="164" fontId="32" fillId="7" borderId="0" xfId="0" applyNumberFormat="1" applyFont="1" applyFill="1" applyBorder="1" applyAlignment="1">
      <x:alignment horizontal="right" vertical="center" wrapText="0"/>
    </x:xf>
    <x:xf numFmtId="164" fontId="23" fillId="7" borderId="0" xfId="0" applyNumberFormat="1" applyFont="1" applyFill="1" applyBorder="1" applyAlignment="1">
      <x:alignment horizontal="general" vertical="bottom" wrapText="0"/>
    </x:xf>
    <x:xf numFmtId="205" fontId="7" fillId="7" borderId="0" xfId="0" applyNumberFormat="1" applyFont="1" applyFill="1" applyBorder="1" applyAlignment="1">
      <x:alignment horizontal="general" vertical="bottom" wrapText="0"/>
    </x:xf>
    <x:xf numFmtId="165" fontId="17" fillId="7" borderId="0" xfId="0" applyNumberFormat="1" applyFont="1" applyFill="1" applyBorder="1" applyAlignment="1">
      <x:alignment horizontal="right" vertical="center" wrapText="0"/>
    </x:xf>
    <x:xf numFmtId="164" fontId="15" fillId="7" borderId="0" xfId="0" applyNumberFormat="1" applyFont="1" applyFill="1" applyBorder="1" applyAlignment="1">
      <x:alignment horizontal="left" vertical="top" wrapText="1"/>
    </x:xf>
    <x:xf numFmtId="164" fontId="5" fillId="7" borderId="0" xfId="0" applyNumberFormat="1" applyFont="1" applyFill="1" applyBorder="1" applyAlignment="1">
      <x:alignment horizontal="left" vertical="top" wrapText="1"/>
    </x:xf>
    <x:xf numFmtId="164" fontId="7" fillId="7" borderId="0" xfId="0" applyNumberFormat="1" applyFont="1" applyFill="1" applyBorder="1" applyAlignment="1">
      <x:alignment horizontal="right" vertical="center" wrapText="0"/>
    </x:xf>
    <x:xf numFmtId="164" fontId="14" fillId="7" borderId="0" xfId="0" applyNumberFormat="1" applyFont="1" applyFill="1" applyBorder="1" applyAlignment="1">
      <x:alignment horizontal="right" vertical="center" wrapText="0"/>
    </x:xf>
    <x:xf numFmtId="164" fontId="6" fillId="7" borderId="0" xfId="0" applyNumberFormat="1" applyFont="1" applyFill="1" applyBorder="1" applyAlignment="1">
      <x:alignment horizontal="general" vertical="bottom" wrapText="0"/>
    </x:xf>
    <x:xf numFmtId="164" fontId="9" fillId="7" borderId="0" xfId="0" applyNumberFormat="1" applyFont="1" applyFill="1" applyBorder="1" applyAlignment="1">
      <x:alignment horizontal="general" vertical="bottom" wrapText="0"/>
    </x:xf>
    <x:xf numFmtId="164" fontId="12" fillId="7" borderId="0" xfId="0" applyNumberFormat="1" applyFont="1" applyFill="1" applyBorder="1" applyAlignment="1">
      <x:alignment horizontal="general" vertical="bottom" wrapText="0"/>
    </x:xf>
    <x:xf numFmtId="164" fontId="14" fillId="7" borderId="0" xfId="0" applyNumberFormat="1" applyFont="1" applyFill="1" applyBorder="1" applyAlignment="1">
      <x:alignment horizontal="left" vertical="top" wrapText="1"/>
    </x:xf>
    <x:xf numFmtId="164" fontId="4" fillId="7" borderId="0" xfId="0" applyNumberFormat="1" applyFont="1" applyFill="1" applyBorder="1" applyAlignment="1">
      <x:alignment horizontal="general" vertical="bottom" wrapText="0"/>
    </x:xf>
    <x:xf numFmtId="164" fontId="8" fillId="8" borderId="0" xfId="0" applyNumberFormat="1" applyFont="1" applyFill="1" applyBorder="1" applyAlignment="1">
      <x:alignment horizontal="general" vertical="bottom" wrapText="0"/>
    </x:xf>
    <x:xf numFmtId="202" fontId="7" fillId="7" borderId="0" xfId="0" applyNumberFormat="1" applyFont="1" applyFill="1" applyBorder="1" applyAlignment="1">
      <x:alignment horizontal="left" vertical="top" wrapText="1"/>
    </x:xf>
    <x:xf numFmtId="202" fontId="7" fillId="7" borderId="0" xfId="0" applyNumberFormat="1" applyFont="1" applyFill="1" applyBorder="1" applyAlignment="1">
      <x:alignment horizontal="general" vertical="top" wrapText="1"/>
    </x:xf>
    <x:xf numFmtId="167" fontId="8" fillId="9" borderId="0" xfId="0" applyNumberFormat="1" applyFont="1" applyFill="1" applyBorder="1" applyAlignment="1">
      <x:alignment horizontal="right" vertical="center" wrapText="0"/>
    </x:xf>
    <x:xf numFmtId="203" fontId="7" fillId="9" borderId="0" xfId="0" applyNumberFormat="1" applyFont="1" applyFill="1" applyBorder="1" applyAlignment="1">
      <x:alignment horizontal="right" vertical="center" wrapText="0"/>
    </x:xf>
    <x:xf numFmtId="202" fontId="7" fillId="9" borderId="0" xfId="0" applyNumberFormat="1" applyFont="1" applyFill="1" applyBorder="1" applyAlignment="1">
      <x:alignment horizontal="general" vertical="bottom" wrapText="0"/>
    </x:xf>
    <x:xf numFmtId="203" fontId="7" fillId="9" borderId="0" xfId="0" applyNumberFormat="1" applyFont="1" applyFill="1" applyBorder="1" applyAlignment="1">
      <x:alignment horizontal="general" vertical="bottom" wrapText="0"/>
    </x:xf>
  </x:cellXfs>
  <x:cellStyles count="6">
    <x:cellStyle name="Normal" xfId="0"/>
    <x:cellStyle name="Comma" xfId="15"/>
    <x:cellStyle name="Comma [0]" xfId="16"/>
    <x:cellStyle name="Currency" xfId="17"/>
    <x:cellStyle name="Currency [0]" xfId="18"/>
    <x:cellStyle name="Percent" xfId="19"/>
  </x:cellStyles>
  <x:dxfs count="1">
    <x:dxf>
      <x:font>
        <x:color rgb="FF9C0006"/>
      </x:font>
      <x:fill>
        <x:patternFill patternType="solid">
          <x:bgColor rgb="FFFCE4D6"/>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B8860B"/>
      <x:rgbColor rgb="FF800080"/>
      <x:rgbColor rgb="FF008080"/>
      <x:rgbColor rgb="FFC0C0C0"/>
      <x:rgbColor rgb="FF878787"/>
      <x:rgbColor rgb="FF9999FF"/>
      <x:rgbColor rgb="FF993366"/>
      <x:rgbColor rgb="FFFDF7EE"/>
      <x:rgbColor rgb="FFCCFFFF"/>
      <x:rgbColor rgb="FF660066"/>
      <x:rgbColor rgb="FFFF8080"/>
      <x:rgbColor rgb="FF0066CC"/>
      <x:rgbColor rgb="FFD9D9D9"/>
      <x:rgbColor rgb="FF000080"/>
      <x:rgbColor rgb="FFFF00FF"/>
      <x:rgbColor rgb="FFFFFF00"/>
      <x:rgbColor rgb="FF00FFFF"/>
      <x:rgbColor rgb="FF800080"/>
      <x:rgbColor rgb="FF800000"/>
      <x:rgbColor rgb="FF008080"/>
      <x:rgbColor rgb="FF0000FF"/>
      <x:rgbColor rgb="FF00CCFF"/>
      <x:rgbColor rgb="FFCCFFFF"/>
      <x:rgbColor rgb="FFEFE6D2"/>
      <x:rgbColor rgb="FFFFF2A8"/>
      <x:rgbColor rgb="FF99CCFF"/>
      <x:rgbColor rgb="FFFF99CC"/>
      <x:rgbColor rgb="FFCC99FF"/>
      <x:rgbColor rgb="FFF3E6C4"/>
      <x:rgbColor rgb="FF3366FF"/>
      <x:rgbColor rgb="FF33CCCC"/>
      <x:rgbColor rgb="FF99CC00"/>
      <x:rgbColor rgb="FFFFCC00"/>
      <x:rgbColor rgb="FFFF9900"/>
      <x:rgbColor rgb="FFFF6600"/>
      <x:rgbColor rgb="FF666699"/>
      <x:rgbColor rgb="FF969696"/>
      <x:rgbColor rgb="FF003366"/>
      <x:rgbColor rgb="FF339966"/>
      <x:rgbColor rgb="FF003300"/>
      <x:rgbColor rgb="FF1A1A17"/>
      <x:rgbColor rgb="FF993300"/>
      <x:rgbColor rgb="FF993366"/>
      <x:rgbColor rgb="FF333399"/>
      <x:rgbColor rgb="FF2E2A22"/>
    </x:indexedColors>
  </x:colors>
</x:styleSheet>
</file>

<file path=xl/_rels/workbook.xml.rels>&#65279;<?xml version="1.0" encoding="utf-8"?><Relationships xmlns="http://schemas.openxmlformats.org/package/2006/relationships"><Relationship Type="http://schemas.openxmlformats.org/officeDocument/2006/relationships/styles" Target="/xl/styles.xml" Id="Rd29bb6a9df194964" /><Relationship Type="http://schemas.openxmlformats.org/officeDocument/2006/relationships/theme" Target="/xl/theme/theme1.xml" Id="Rf96fc231518444d1" /><Relationship Type="http://schemas.openxmlformats.org/officeDocument/2006/relationships/sharedStrings" Target="/xl/sharedStrings.xml" Id="Re397e910392d4d73" /><Relationship Type="http://schemas.openxmlformats.org/officeDocument/2006/relationships/worksheet" Target="/xl/worksheets/sheet1.xml" Id="R30a861dc2fcd496d" /><Relationship Type="http://schemas.openxmlformats.org/officeDocument/2006/relationships/worksheet" Target="/xl/worksheets/sheet2.xml" Id="Ra48ee5c8b4ee4358" /><Relationship Type="http://schemas.openxmlformats.org/officeDocument/2006/relationships/worksheet" Target="/xl/worksheets/sheet3.xml" Id="Rc995e28f74d34723" /><Relationship Type="http://schemas.openxmlformats.org/officeDocument/2006/relationships/worksheet" Target="/xl/worksheets/sheet4.xml" Id="Re7261f4e59f846a6" /><Relationship Type="http://schemas.openxmlformats.org/officeDocument/2006/relationships/worksheet" Target="/xl/worksheets/sheet5.xml" Id="Ra18932a483284de1" /><Relationship Type="http://schemas.openxmlformats.org/officeDocument/2006/relationships/worksheet" Target="/xl/worksheets/sheet6.xml" Id="R36d41039a78f471d" /><Relationship Type="http://schemas.openxmlformats.org/officeDocument/2006/relationships/worksheet" Target="/xl/worksheets/sheet7.xml" Id="R32ef955c045a480f" /><Relationship Type="http://schemas.openxmlformats.org/officeDocument/2006/relationships/worksheet" Target="/xl/worksheets/sheet8.xml" Id="R88283a1c650b413c" /><Relationship Type="http://schemas.openxmlformats.org/officeDocument/2006/relationships/worksheet" Target="/xl/worksheets/sheet9.xml" Id="R0f86410827ef457e" /><Relationship Type="http://schemas.openxmlformats.org/officeDocument/2006/relationships/worksheet" Target="/xl/worksheets/sheet10.xml" Id="Ra60c237885ae4d9a" /><Relationship Type="http://schemas.openxmlformats.org/officeDocument/2006/relationships/worksheet" Target="/xl/worksheets/sheet11.xml" Id="Rd35537c2d6af4fbf" /><Relationship Type="http://schemas.openxmlformats.org/officeDocument/2006/relationships/worksheet" Target="/xl/worksheets/sheet12.xml" Id="R78abe447d019467c" /><Relationship Type="http://schemas.openxmlformats.org/officeDocument/2006/relationships/worksheet" Target="/xl/worksheets/sheet13.xml" Id="Rcd3d2198d9614cbc" /><Relationship Type="http://schemas.openxmlformats.org/officeDocument/2006/relationships/worksheet" Target="/xl/worksheets/sheet14.xml" Id="Rc48c7a0552414284" /><Relationship Type="http://schemas.openxmlformats.org/officeDocument/2006/relationships/worksheet" Target="/xl/worksheets/sheet15.xml" Id="R0a58bb86b91d444e" /><Relationship Type="http://schemas.microsoft.com/office/2017/10/relationships/person" Target="/xl/persons/person.xml" Id="R541d2cd01fac4925" /></Relationships>
</file>

<file path=xl/drawings/_rels/drawing1.xml.rels>&#65279;<?xml version="1.0" encoding="utf-8"?><Relationships xmlns="http://schemas.openxmlformats.org/package/2006/relationships"><Relationship Type="http://schemas.openxmlformats.org/officeDocument/2006/relationships/chart" Target="/xl/drawings/charts/chart1.xml" Id="R190c0af68155467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t>Value per share</a:t>
            </a:r>
          </a:p>
        </c:rich>
      </c:tx>
      <c:overlay val="0"/>
      <c:txPr>
        <a:bodyPr xmlns:a="http://schemas.openxmlformats.org/drawingml/2006/main" anchorCtr="1"/>
        <a:lstStyle xmlns:a="http://schemas.openxmlformats.org/drawingml/2006/main"/>
        <a:p xmlns:a="http://schemas.openxmlformats.org/drawingml/2006/main">
          <a:pPr>
            <a:defRPr sz="900"/>
          </a:pPr>
        </a:p>
      </c:txPr>
    </c:title>
    <c:plotArea>
      <c:barChart>
        <c:barDir val="col"/>
        <c:varyColors val="0"/>
        <c:ser>
          <c:idx val="0"/>
          <c:order val="0"/>
          <c:tx>
            <c:v>Value / share</c:v>
          </c:tx>
          <c:spPr>
            <a:solidFill xmlns:a="http://schemas.openxmlformats.org/drawingml/2006/main">
              <a:srgbClr val="B8860B"/>
            </a:solidFill>
          </c:spPr>
          <c:cat>
            <c:strRef>
              <c:f>'Valuation Summary'!$F$10:$F$13</c:f>
              <c:strCache>
                <c:ptCount val="0"/>
              </c:strCache>
            </c:strRef>
          </c:cat>
          <c:val>
            <c:numRef>
              <c:f>'Valuation Summary'!$G$10:$G$13</c:f>
              <c:numCache>
                <c:formatCode>$0.00;($0.00);"—"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xdr:col>
      <xdr:colOff>0</xdr:colOff>
      <xdr:row>19</xdr:row>
      <xdr:rowOff>0</xdr:rowOff>
    </xdr:from>
    <xdr:to>
      <xdr:col>10</xdr:col>
      <xdr:colOff>0</xdr:colOff>
      <xdr:row>34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90c0af681554679"/>
        </a:graphicData>
      </a:graphic>
    </xdr:graphicFrame>
    <xdr:clientData/>
  </xdr:twoCellAnchor>
</xdr:wsDr>
</file>

<file path=xl/persons/person.xml><?xml version="1.0" encoding="utf-8"?>
<xltc:personList xmlns:xltc="http://schemas.microsoft.com/office/spreadsheetml/2018/threadedcomments">
  <xltc:person displayName="Mike Ye" id="{F97D8709-2F70-4648-8F57-03183CA93371}"/>
</xltc:personList>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threadedcomments/threadedcomment.xml><?xml version="1.0" encoding="utf-8"?>
<xltc:ThreadedComments xmlns:xltc="http://schemas.microsoft.com/office/spreadsheetml/2018/threadedcomments">
  <xltc:threadedComment ref="C53" dT="2026-09-08T00:47:16.424" personId="{F97D8709-2F70-4648-8F57-03183CA93371}" id="{F87B9072-5B32-460D-804A-4E28F586D944}">
    <xltc:text>Source: https://s201.q4cdn.com/141608511/files/doc_financials/2027/NVDA-2027-Q2-10Q-Final-including-exhibits.pdf
Commitment table page 17. Column C H2 FY2027, D:G FY2028–FY2031.</xltc:text>
  </xltc:threadedComment>
  <xltc:threadedComment ref="D53" dT="2026-09-08T00:47:16.424" personId="{F97D8709-2F70-4648-8F57-03183CA93371}" id="{7BDC06B2-4E0B-406D-AD40-3FF5CA6BF87D}">
    <xltc:text>Source: https://s201.q4cdn.com/141608511/files/doc_financials/2027/NVDA-2027-Q2-10Q-Final-including-exhibits.pdf
Commitment table page 17. Column C H2 FY2027, D:G FY2028–FY2031.</xltc:text>
  </xltc:threadedComment>
  <xltc:threadedComment ref="E53" dT="2026-09-08T00:47:16.424" personId="{F97D8709-2F70-4648-8F57-03183CA93371}" id="{C0ACEDC6-8591-4333-A874-0545D89EFFA1}">
    <xltc:text>Source: https://s201.q4cdn.com/141608511/files/doc_financials/2027/NVDA-2027-Q2-10Q-Final-including-exhibits.pdf
Commitment table page 17. Column C H2 FY2027, D:G FY2028–FY2031.</xltc:text>
  </xltc:threadedComment>
  <xltc:threadedComment ref="F53" dT="2026-09-08T00:47:16.424" personId="{F97D8709-2F70-4648-8F57-03183CA93371}" id="{5801B6A8-933F-4EB8-9801-0AE86684D855}">
    <xltc:text>Source: https://s201.q4cdn.com/141608511/files/doc_financials/2027/NVDA-2027-Q2-10Q-Final-including-exhibits.pdf
Commitment table page 17. Column C H2 FY2027, D:G FY2028–FY2031.</xltc:text>
  </xltc:threadedComment>
  <xltc:threadedComment ref="G53" dT="2026-09-08T00:47:16.424" personId="{F97D8709-2F70-4648-8F57-03183CA93371}" id="{F2B02DB6-01B7-48E8-A4CD-A78A18086DA5}">
    <xltc:text>Source: https://s201.q4cdn.com/141608511/files/doc_financials/2027/NVDA-2027-Q2-10Q-Final-including-exhibits.pdf
Commitment table page 17. Column C H2 FY2027, D:G FY2028–FY2031.</xltc:text>
  </xltc:threadedComment>
  <xltc:threadedComment ref="C54" dT="2026-09-08T00:47:16.424" personId="{F97D8709-2F70-4648-8F57-03183CA93371}" id="{D18627D9-EAA2-4071-84CF-0F4C01C5675B}">
    <xltc:text>Source: https://s201.q4cdn.com/141608511/files/doc_financials/2027/NVDA-2027-Q2-10Q-Final-including-exhibits.pdf
Commitment table page 17. Column C H2 FY2027, D:G FY2028–FY2031.</xltc:text>
  </xltc:threadedComment>
  <xltc:threadedComment ref="D54" dT="2026-09-08T00:47:16.425" personId="{F97D8709-2F70-4648-8F57-03183CA93371}" id="{033065D6-50E5-4EFF-A346-B8EFE29A9E03}">
    <xltc:text>Source: https://s201.q4cdn.com/141608511/files/doc_financials/2027/NVDA-2027-Q2-10Q-Final-including-exhibits.pdf
Commitment table page 17. Column C H2 FY2027, D:G FY2028–FY2031.</xltc:text>
  </xltc:threadedComment>
  <xltc:threadedComment ref="E54" dT="2026-09-08T00:47:16.425" personId="{F97D8709-2F70-4648-8F57-03183CA93371}" id="{B6E1FB02-7BEF-4E3D-83F2-A580CF80EEDF}">
    <xltc:text>Source: https://s201.q4cdn.com/141608511/files/doc_financials/2027/NVDA-2027-Q2-10Q-Final-including-exhibits.pdf
Commitment table page 17. Column C H2 FY2027, D:G FY2028–FY2031.</xltc:text>
  </xltc:threadedComment>
  <xltc:threadedComment ref="F54" dT="2026-09-08T00:47:16.425" personId="{F97D8709-2F70-4648-8F57-03183CA93371}" id="{9EBDC6A8-837E-41C7-84D5-482B97D5CEBD}">
    <xltc:text>Source: https://s201.q4cdn.com/141608511/files/doc_financials/2027/NVDA-2027-Q2-10Q-Final-including-exhibits.pdf
Commitment table page 17. Column C H2 FY2027, D:G FY2028–FY2031.</xltc:text>
  </xltc:threadedComment>
  <xltc:threadedComment ref="G54" dT="2026-09-08T00:47:16.425" personId="{F97D8709-2F70-4648-8F57-03183CA93371}" id="{00BE28D3-F036-475A-AFC8-8C5E962FEEC1}">
    <xltc:text>Source: https://s201.q4cdn.com/141608511/files/doc_financials/2027/NVDA-2027-Q2-10Q-Final-including-exhibits.pdf
Commitment table page 17. Column C H2 FY2027, D:G FY2028–FY2031.</xltc:text>
  </xltc:threadedComment>
</xltc:ThreadedComments>
</file>

<file path=xl/threadedcomments/threadedcomment2.xml><?xml version="1.0" encoding="utf-8"?>
<xltc:ThreadedComments xmlns:xltc="http://schemas.microsoft.com/office/spreadsheetml/2018/threadedcomments">
  <xltc:threadedComment ref="C10" dT="2026-09-08T00:47:16.247" personId="{F97D8709-2F70-4648-8F57-03183CA93371}" id="{604844C4-75B9-4B35-86D3-5AF41838F1B8}">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11" dT="2026-09-08T00:47:16.248" personId="{F97D8709-2F70-4648-8F57-03183CA93371}" id="{8BD8D2EE-CB83-464F-8954-4C160AE3EDEC}">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12" dT="2026-09-08T00:47:16.248" personId="{F97D8709-2F70-4648-8F57-03183CA93371}" id="{02151233-74CB-4BAF-BA8F-F84D210089D9}">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13" dT="2026-09-08T00:47:16.248" personId="{F97D8709-2F70-4648-8F57-03183CA93371}" id="{36D56E89-385C-4FF0-AD1D-CA69E96D5A70}">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14" dT="2026-09-08T00:47:16.248" personId="{F97D8709-2F70-4648-8F57-03183CA93371}" id="{C7D6B31E-F1DF-41F7-BD31-3D170661B3E8}">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19" dT="2026-09-08T00:47:16.248" personId="{F97D8709-2F70-4648-8F57-03183CA93371}" id="{AE5BFC8B-5B3B-4674-94D2-4C9AF6BB1306}">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0" dT="2026-09-08T00:47:16.248" personId="{F97D8709-2F70-4648-8F57-03183CA93371}" id="{7613EA27-1F7C-4390-A9BD-712AF01FBBFF}">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1" dT="2026-09-08T00:47:16.249" personId="{F97D8709-2F70-4648-8F57-03183CA93371}" id="{2BDA7381-50A4-4766-8874-3CDFCAAC72E5}">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2" dT="2026-09-08T00:47:16.249" personId="{F97D8709-2F70-4648-8F57-03183CA93371}" id="{7A5C5EC0-6A14-42EC-BAE7-0918522FB7A2}">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3" dT="2026-09-08T00:47:16.249" personId="{F97D8709-2F70-4648-8F57-03183CA93371}" id="{04001185-A1E1-4499-B237-8029DE8D2D64}">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4" dT="2026-09-08T00:47:16.249" personId="{F97D8709-2F70-4648-8F57-03183CA93371}" id="{5FCE601E-6BAF-490F-901D-ED62ABFE79B0}">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5" dT="2026-09-08T00:47:16.249" personId="{F97D8709-2F70-4648-8F57-03183CA93371}" id="{B9AC715D-9512-40C1-A7CD-C5455C4214B1}">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6" dT="2026-09-08T00:47:16.249" personId="{F97D8709-2F70-4648-8F57-03183CA93371}" id="{C95D186E-2CE0-488F-995C-4CEF46191FF6}">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7" dT="2026-09-08T00:47:16.249" personId="{F97D8709-2F70-4648-8F57-03183CA93371}" id="{2109962F-8156-4851-A244-7E87EEAFC9DF}">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8" dT="2026-09-08T00:47:16.249" personId="{F97D8709-2F70-4648-8F57-03183CA93371}" id="{9CD5DCCF-5689-4DE7-8084-2D1532428569}">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29" dT="2026-09-08T00:47:16.249" personId="{F97D8709-2F70-4648-8F57-03183CA93371}" id="{B7C285AF-B83C-4E3D-A0FF-E43B00AC0D06}">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0" dT="2026-09-08T00:47:16.249" personId="{F97D8709-2F70-4648-8F57-03183CA93371}" id="{0457AD8A-F699-49D1-9EAE-3938EC4D87F7}">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1" dT="2026-09-08T00:47:16.249" personId="{F97D8709-2F70-4648-8F57-03183CA93371}" id="{CC2C879A-20B5-4D14-8CC5-F9DF14BB665C}">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3" dT="2026-09-08T00:47:16.249" personId="{F97D8709-2F70-4648-8F57-03183CA93371}" id="{028C78BE-2EA7-4D45-9ED8-84A5041F12BA}">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4" dT="2026-09-08T00:47:16.249" personId="{F97D8709-2F70-4648-8F57-03183CA93371}" id="{6CD04645-13C7-48D9-9652-9F510442F6D3}">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5" dT="2026-09-08T00:47:16.249" personId="{F97D8709-2F70-4648-8F57-03183CA93371}" id="{C5292282-4365-4F96-B1CE-2E5F4E14535E}">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6" dT="2026-09-08T00:47:16.249" personId="{F97D8709-2F70-4648-8F57-03183CA93371}" id="{1FEE4DA2-702D-47DD-A045-754759F68E66}">
    <xltc:text>Source: https://nvidianews.nvidia.com/news/nvidia-announces-financial-results-for-second-quarter-fiscal-2027
Debt principal and capital payments: https://s201.q4cdn.com/141608511/files/doc_financials/2027/NVDA-2027-Q2-10Q-Final-including-exhibits.pdf
July 26, 2026; USD millions except per-share amounts.</xltc:text>
  </xltc:threadedComment>
  <xltc:threadedComment ref="C37" dT="2026-09-08T00:47:17.364" personId="{F97D8709-2F70-4648-8F57-03183CA93371}" id="{39108602-97A7-47C0-B2E3-ED52C511C337}">
    <xltc:text>Source: https://blogs.nvidia.com/blog/nvidia-to-acquire-hugging-face/ — September 3, 2026. Cash fraction and payment timing are assumptions.</xltc:text>
  </xltc:threadedComment>
</xltc:ThreadedComments>
</file>

<file path=xl/worksheets/_rels/sheet2.xml.rels>&#65279;<?xml version="1.0" encoding="utf-8"?><Relationships xmlns="http://schemas.openxmlformats.org/package/2006/relationships"><Relationship Type="http://schemas.openxmlformats.org/officeDocument/2006/relationships/drawing" Target="/xl/drawings/drawing1.xml" Id="R7727f4cab33846af" /></Relationships>
</file>

<file path=xl/worksheets/_rels/sheet3.xml.rels>&#65279;<?xml version="1.0" encoding="utf-8"?><Relationships xmlns="http://schemas.openxmlformats.org/package/2006/relationships"><Relationship Type="http://schemas.openxmlformats.org/officeDocument/2006/relationships/comments" Target="/xl/comments1.xml" Id="R1f53dc8692824af8" /><Relationship Type="http://schemas.openxmlformats.org/officeDocument/2006/relationships/vmlDrawing" Target="/xl/drawings/vmldrawing.vml" Id="R0ac31367fe164ca6" /><Relationship Type="http://schemas.microsoft.com/office/2017/10/relationships/threadedComment" Target="/xl/threadedcomments/threadedcomment.xml" Id="Redfe3490d2a940f9" /></Relationships>
</file>

<file path=xl/worksheets/_rels/sheet5.xml.rels>&#65279;<?xml version="1.0" encoding="utf-8"?><Relationships xmlns="http://schemas.openxmlformats.org/package/2006/relationships"><Relationship Type="http://schemas.openxmlformats.org/officeDocument/2006/relationships/comments" Target="/xl/comments2.xml" Id="Rb5f9d4733b51462b" /><Relationship Type="http://schemas.openxmlformats.org/officeDocument/2006/relationships/vmlDrawing" Target="/xl/drawings/vmldrawing2.vml" Id="Rf7954badbc2e4ed5" /></Relationships>
</file>

<file path=xl/worksheets/_rels/sheet6.xml.rels>&#65279;<?xml version="1.0" encoding="utf-8"?><Relationships xmlns="http://schemas.openxmlformats.org/package/2006/relationships"><Relationship Type="http://schemas.openxmlformats.org/officeDocument/2006/relationships/comments" Target="/xl/comments3.xml" Id="R26ab81cbc2d043a0" /><Relationship Type="http://schemas.openxmlformats.org/officeDocument/2006/relationships/vmlDrawing" Target="/xl/drawings/vmldrawing3.vml" Id="R403e6efa59de4c27" /></Relationships>
</file>

<file path=xl/worksheets/_rels/sheet7.xml.rels>&#65279;<?xml version="1.0" encoding="utf-8"?><Relationships xmlns="http://schemas.openxmlformats.org/package/2006/relationships"><Relationship Type="http://schemas.openxmlformats.org/officeDocument/2006/relationships/comments" Target="/xl/comments4.xml" Id="Rcadbba67986a488a" /><Relationship Type="http://schemas.openxmlformats.org/officeDocument/2006/relationships/vmlDrawing" Target="/xl/drawings/vmldrawing4.vml" Id="R340c95d80976463c" /></Relationships>
</file>

<file path=xl/worksheets/_rels/sheet15.xml.rels>&#65279;<?xml version="1.0" encoding="utf-8"?><Relationships xmlns="http://schemas.openxmlformats.org/package/2006/relationships"><Relationship Type="http://schemas.openxmlformats.org/officeDocument/2006/relationships/comments" Target="/xl/comments5.xml" Id="R5a9153ff96e1439c" /><Relationship Type="http://schemas.openxmlformats.org/officeDocument/2006/relationships/vmlDrawing" Target="/xl/drawings/vmldrawing5.vml" Id="Re79f9819db18491e" /><Relationship Type="http://schemas.microsoft.com/office/2017/10/relationships/threadedComment" Target="/xl/threadedcomments/threadedcomment2.xml" Id="Ra32226a484f34d80" /></Relationships>
</file>

<file path=xl/worksheets/sheet1.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PRACTICAL VALUATION MODEL</x:v>
      </x:c>
      <x:c r="B1" s="142"/>
      <x:c r="C1" s="142"/>
      <x:c r="D1" s="142"/>
      <x:c r="E1" s="142"/>
      <x:c r="F1" s="142"/>
      <x:c r="G1" s="142"/>
      <x:c r="H1" s="142"/>
      <x:c r="I1" s="142"/>
      <x:c r="J1" s="142"/>
      <x:c r="K1" s="1"/>
      <x:c r="L1" s="1"/>
      <x:c r="M1" s="2"/>
      <x:c r="N1" s="2"/>
    </x:row>
    <x:row r="2" ht="21" hidden="0" customHeight="1">
      <x:c r="A2" s="144" t="str">
        <x:v>MikeYe.com • September 8, 2026 • Version 1.2</x:v>
      </x:c>
      <x:c r="B2" s="144"/>
      <x:c r="C2" s="144"/>
      <x:c r="D2" s="144"/>
      <x:c r="E2" s="144"/>
      <x:c r="F2" s="144"/>
      <x:c r="G2" s="144"/>
      <x:c r="H2" s="144"/>
      <x:c r="I2" s="144"/>
      <x:c r="J2" s="144"/>
      <x:c r="K2" s="3"/>
      <x:c r="L2" s="3"/>
      <x:c r="M2" s="2"/>
      <x:c r="N2" s="2"/>
    </x:row>
    <x:row r="3" ht="21" hidden="0" customHeight="1">
      <x:c r="A3" s="94"/>
      <x:c r="B3" s="94"/>
      <x:c r="C3" s="94"/>
      <x:c r="D3" s="94"/>
      <x:c r="E3" s="94"/>
      <x:c r="F3" s="94"/>
      <x:c r="G3" s="94"/>
      <x:c r="H3" s="94"/>
      <x:c r="I3" s="94"/>
      <x:c r="J3" s="94"/>
      <x:c r="K3" s="2"/>
      <x:c r="L3" s="2"/>
      <x:c r="M3" s="2"/>
      <x:c r="N3" s="2"/>
    </x:row>
    <x:row r="4" ht="21" hidden="0" customHeight="1">
      <x:c r="A4" s="90"/>
      <x:c r="B4" s="115"/>
      <x:c r="C4" s="90"/>
      <x:c r="D4" s="90"/>
      <x:c r="E4" s="90"/>
      <x:c r="F4" s="90"/>
      <x:c r="G4" s="90"/>
      <x:c r="H4" s="90"/>
      <x:c r="I4" s="90"/>
      <x:c r="J4" s="90"/>
      <x:c r="K4" s="2"/>
      <x:c r="L4" s="2"/>
      <x:c r="M4" s="2"/>
      <x:c r="N4" s="2"/>
    </x:row>
    <x:row r="5" ht="21" hidden="0" customHeight="1">
      <x:c r="A5" s="90"/>
      <x:c r="B5" s="253" t="str">
        <x:v>Calculation status</x:v>
      </x:c>
      <x:c r="C5" s="276" t="str">
        <x:f>'Checks'!F27</x:f>
        <x:v>PASS</x:v>
      </x:c>
      <x:c r="D5" s="253"/>
      <x:c r="E5" s="90"/>
      <x:c r="F5" s="90"/>
      <x:c r="G5" s="90"/>
      <x:c r="H5" s="90"/>
      <x:c r="I5" s="90"/>
      <x:c r="J5" s="90"/>
      <x:c r="K5" s="2"/>
      <x:c r="L5" s="2"/>
      <x:c r="M5" s="2"/>
      <x:c r="N5" s="2"/>
    </x:row>
    <x:row r="6" ht="21" hidden="0" customHeight="1">
      <x:c r="A6" s="90"/>
      <x:c r="B6" s="253"/>
      <x:c r="C6" s="253"/>
      <x:c r="D6" s="253"/>
      <x:c r="E6" s="90"/>
      <x:c r="F6" s="90"/>
      <x:c r="G6" s="90"/>
      <x:c r="H6" s="90"/>
      <x:c r="I6" s="90"/>
      <x:c r="J6" s="90"/>
      <x:c r="K6" s="2"/>
      <x:c r="L6" s="2"/>
      <x:c r="M6" s="2"/>
      <x:c r="N6" s="2"/>
    </x:row>
    <x:row r="7" ht="21" hidden="0" customHeight="1">
      <x:c r="A7" s="90"/>
      <x:c r="B7" s="253"/>
      <x:c r="C7" s="253"/>
      <x:c r="D7" s="253"/>
      <x:c r="E7" s="90"/>
      <x:c r="F7" s="90"/>
      <x:c r="G7" s="90"/>
      <x:c r="H7" s="90"/>
      <x:c r="I7" s="90"/>
      <x:c r="J7" s="90"/>
      <x:c r="K7" s="2"/>
      <x:c r="L7" s="2"/>
      <x:c r="M7" s="2"/>
      <x:c r="N7" s="2"/>
    </x:row>
    <x:row r="8" ht="21" hidden="0" customHeight="1">
      <x:c r="A8" s="90"/>
      <x:c r="B8" s="253"/>
      <x:c r="C8" s="253"/>
      <x:c r="D8" s="253"/>
      <x:c r="E8" s="90"/>
      <x:c r="F8" s="90"/>
      <x:c r="G8" s="90"/>
      <x:c r="H8" s="90"/>
      <x:c r="I8" s="90"/>
      <x:c r="J8" s="90"/>
      <x:c r="K8" s="2"/>
      <x:c r="L8" s="2"/>
      <x:c r="M8" s="2"/>
      <x:c r="N8" s="2"/>
    </x:row>
    <x:row r="9" ht="21" hidden="0" customHeight="1">
      <x:c r="A9" s="90"/>
      <x:c r="B9" s="253" t="str">
        <x:v>Start with what has to go right. How much growth requires more customer funding? How much cash is committed before demand is certain? What happens if pricing and volume weaken at the same time?</x:v>
      </x:c>
      <x:c r="C9" s="253"/>
      <x:c r="D9" s="253"/>
      <x:c r="E9" s="111"/>
      <x:c r="F9" s="111"/>
      <x:c r="G9" s="111"/>
      <x:c r="H9" s="111"/>
      <x:c r="I9" s="111"/>
      <x:c r="J9" s="111"/>
      <x:c r="K9" s="2"/>
      <x:c r="L9" s="2"/>
      <x:c r="M9" s="2"/>
      <x:c r="N9" s="2"/>
    </x:row>
    <x:row r="10" ht="21" hidden="0" customHeight="1">
      <x:c r="A10" s="90"/>
      <x:c r="B10" s="111"/>
      <x:c r="C10" s="111"/>
      <x:c r="D10" s="111"/>
      <x:c r="E10" s="111"/>
      <x:c r="F10" s="111"/>
      <x:c r="G10" s="111"/>
      <x:c r="H10" s="111"/>
      <x:c r="I10" s="111"/>
      <x:c r="J10" s="111"/>
      <x:c r="K10" s="2"/>
      <x:c r="L10" s="2"/>
      <x:c r="M10" s="2"/>
      <x:c r="N10" s="2"/>
    </x:row>
    <x:row r="11" ht="21" hidden="0" customHeight="1">
      <x:c r="A11" s="90"/>
      <x:c r="B11" s="264"/>
      <x:c r="C11" s="111"/>
      <x:c r="D11" s="111"/>
      <x:c r="E11" s="111"/>
      <x:c r="F11" s="111"/>
      <x:c r="G11" s="111"/>
      <x:c r="H11" s="111"/>
      <x:c r="I11" s="111"/>
      <x:c r="J11" s="111"/>
      <x:c r="K11" s="2"/>
      <x:c r="L11" s="2"/>
      <x:c r="M11" s="2"/>
      <x:c r="N11" s="2"/>
    </x:row>
    <x:row r="12" ht="21" hidden="0" customHeight="1">
      <x:c r="A12" s="90"/>
      <x:c r="B12" s="115"/>
      <x:c r="C12" s="90"/>
      <x:c r="D12" s="90"/>
      <x:c r="E12" s="90"/>
      <x:c r="F12" s="90"/>
      <x:c r="G12" s="90"/>
      <x:c r="H12" s="90"/>
      <x:c r="I12" s="90"/>
      <x:c r="J12" s="90"/>
      <x:c r="K12" s="2"/>
      <x:c r="L12" s="2"/>
      <x:c r="M12" s="2"/>
      <x:c r="N12" s="2"/>
    </x:row>
    <x:row r="13" ht="21" hidden="0" customHeight="1">
      <x:c r="A13" s="90"/>
      <x:c r="B13" s="115"/>
      <x:c r="C13" s="90"/>
      <x:c r="D13" s="90"/>
      <x:c r="E13" s="90"/>
      <x:c r="F13" s="90"/>
      <x:c r="G13" s="90"/>
      <x:c r="H13" s="90"/>
      <x:c r="I13" s="90"/>
      <x:c r="J13" s="90"/>
      <x:c r="K13" s="2"/>
      <x:c r="L13" s="2"/>
      <x:c r="M13" s="2"/>
      <x:c r="N13" s="2"/>
    </x:row>
    <x:row r="14" ht="21" hidden="0" customHeight="1">
      <x:c r="A14" s="90"/>
      <x:c r="B14" s="264" t="str">
        <x:v>1. Assumptions: select Base, Upside or Downside. Change the blue inputs to test revenue, margins, stock compensation, reinvestment and valuation.</x:v>
      </x:c>
      <x:c r="C14" s="111"/>
      <x:c r="D14" s="111"/>
      <x:c r="E14" s="111"/>
      <x:c r="F14" s="111"/>
      <x:c r="G14" s="111"/>
      <x:c r="H14" s="111"/>
      <x:c r="I14" s="111"/>
      <x:c r="J14" s="111"/>
      <x:c r="K14" s="2"/>
      <x:c r="L14" s="2"/>
      <x:c r="M14" s="2"/>
      <x:c r="N14" s="2"/>
    </x:row>
    <x:row r="15" ht="21" hidden="0" customHeight="1">
      <x:c r="A15" s="90"/>
      <x:c r="B15" s="264"/>
      <x:c r="C15" s="111"/>
      <x:c r="D15" s="111"/>
      <x:c r="E15" s="111"/>
      <x:c r="F15" s="111"/>
      <x:c r="G15" s="111"/>
      <x:c r="H15" s="111"/>
      <x:c r="I15" s="111"/>
      <x:c r="J15" s="111"/>
      <x:c r="K15" s="2"/>
      <x:c r="L15" s="2"/>
      <x:c r="M15" s="2"/>
      <x:c r="N15" s="2"/>
    </x:row>
    <x:row r="16" ht="21" hidden="0" customHeight="1">
      <x:c r="A16" s="90"/>
      <x:c r="B16" s="111"/>
      <x:c r="C16" s="111"/>
      <x:c r="D16" s="111"/>
      <x:c r="E16" s="111"/>
      <x:c r="F16" s="111"/>
      <x:c r="G16" s="111"/>
      <x:c r="H16" s="111"/>
      <x:c r="I16" s="111"/>
      <x:c r="J16" s="111"/>
      <x:c r="K16" s="2"/>
      <x:c r="L16" s="2"/>
      <x:c r="M16" s="2"/>
      <x:c r="N16" s="2"/>
    </x:row>
    <x:row r="17" ht="21" hidden="0" customHeight="1">
      <x:c r="A17" s="90"/>
      <x:c r="B17" s="255"/>
      <x:c r="C17" s="255"/>
      <x:c r="D17" s="255"/>
      <x:c r="E17" s="90"/>
      <x:c r="F17" s="90"/>
      <x:c r="G17" s="90"/>
      <x:c r="H17" s="90"/>
      <x:c r="I17" s="90"/>
      <x:c r="J17" s="90"/>
      <x:c r="K17" s="2"/>
      <x:c r="L17" s="2"/>
      <x:c r="M17" s="2"/>
      <x:c r="N17" s="2"/>
    </x:row>
    <x:row r="18" ht="21" hidden="0" customHeight="1">
      <x:c r="A18" s="90"/>
      <x:c r="B18" s="255"/>
      <x:c r="C18" s="255"/>
      <x:c r="D18" s="255"/>
      <x:c r="E18" s="90"/>
      <x:c r="F18" s="90"/>
      <x:c r="G18" s="90"/>
      <x:c r="H18" s="90"/>
      <x:c r="I18" s="90"/>
      <x:c r="J18" s="90"/>
      <x:c r="K18" s="2"/>
      <x:c r="L18" s="2"/>
      <x:c r="M18" s="2"/>
      <x:c r="N18" s="2"/>
    </x:row>
    <x:row r="19" ht="21" hidden="0" customHeight="1">
      <x:c r="A19" s="90"/>
      <x:c r="B19" s="255" t="str">
        <x:v>2. Valuation Summary: compare DCF and selected trading multiples. Acquisition Returns is a separate teaching case about price discipline.</x:v>
      </x:c>
      <x:c r="C19" s="255"/>
      <x:c r="D19" s="255"/>
      <x:c r="E19" s="111"/>
      <x:c r="F19" s="111"/>
      <x:c r="G19" s="111"/>
      <x:c r="H19" s="111"/>
      <x:c r="I19" s="111"/>
      <x:c r="J19" s="111"/>
      <x:c r="K19" s="2"/>
      <x:c r="L19" s="2"/>
      <x:c r="M19" s="2"/>
      <x:c r="N19" s="2"/>
    </x:row>
    <x:row r="20" ht="21" hidden="0" customHeight="1">
      <x:c r="A20" s="90"/>
      <x:c r="B20" s="255"/>
      <x:c r="C20" s="255"/>
      <x:c r="D20" s="255"/>
      <x:c r="E20" s="111"/>
      <x:c r="F20" s="111"/>
      <x:c r="G20" s="111"/>
      <x:c r="H20" s="111"/>
      <x:c r="I20" s="111"/>
      <x:c r="J20" s="111"/>
      <x:c r="K20" s="2"/>
      <x:c r="L20" s="2"/>
      <x:c r="M20" s="2"/>
      <x:c r="N20" s="2"/>
    </x:row>
    <x:row r="21" ht="21" hidden="0" customHeight="1">
      <x:c r="A21" s="90"/>
      <x:c r="B21" s="111"/>
      <x:c r="C21" s="111"/>
      <x:c r="D21" s="111"/>
      <x:c r="E21" s="111"/>
      <x:c r="F21" s="111"/>
      <x:c r="G21" s="111"/>
      <x:c r="H21" s="111"/>
      <x:c r="I21" s="111"/>
      <x:c r="J21" s="111"/>
      <x:c r="K21" s="2"/>
      <x:c r="L21" s="2"/>
      <x:c r="M21" s="2"/>
      <x:c r="N21" s="2"/>
    </x:row>
    <x:row r="22" ht="21" hidden="0" customHeight="1">
      <x:c r="A22" s="90"/>
      <x:c r="B22" s="115"/>
      <x:c r="C22" s="90"/>
      <x:c r="D22" s="90"/>
      <x:c r="E22" s="90"/>
      <x:c r="F22" s="90"/>
      <x:c r="G22" s="90"/>
      <x:c r="H22" s="90"/>
      <x:c r="I22" s="90"/>
      <x:c r="J22" s="90"/>
      <x:c r="K22" s="2"/>
      <x:c r="L22" s="2"/>
      <x:c r="M22" s="2"/>
      <x:c r="N22" s="2"/>
    </x:row>
    <x:row r="23" ht="21" hidden="0" customHeight="1">
      <x:c r="A23" s="90"/>
      <x:c r="B23" s="115"/>
      <x:c r="C23" s="90"/>
      <x:c r="D23" s="90"/>
      <x:c r="E23" s="90"/>
      <x:c r="F23" s="90"/>
      <x:c r="G23" s="90"/>
      <x:c r="H23" s="90"/>
      <x:c r="I23" s="90"/>
      <x:c r="J23" s="90"/>
      <x:c r="K23" s="2"/>
      <x:c r="L23" s="2"/>
      <x:c r="M23" s="2"/>
      <x:c r="N23" s="2"/>
    </x:row>
    <x:row r="24" ht="21" hidden="0" customHeight="1">
      <x:c r="A24" s="90"/>
      <x:c r="B24" s="264" t="str">
        <x:v>3. Source Inputs and Operating Forecast: follow reported actuals into the remaining forecast period, cash schedule and equity bridge.</x:v>
      </x:c>
      <x:c r="C24" s="111"/>
      <x:c r="D24" s="111"/>
      <x:c r="E24" s="111"/>
      <x:c r="F24" s="111"/>
      <x:c r="G24" s="111"/>
      <x:c r="H24" s="111"/>
      <x:c r="I24" s="111"/>
      <x:c r="J24" s="111"/>
      <x:c r="K24" s="2"/>
      <x:c r="L24" s="2"/>
      <x:c r="M24" s="2"/>
      <x:c r="N24" s="2"/>
    </x:row>
    <x:row r="25" ht="21" hidden="0" customHeight="1">
      <x:c r="A25" s="90"/>
      <x:c r="B25" s="264"/>
      <x:c r="C25" s="111"/>
      <x:c r="D25" s="111"/>
      <x:c r="E25" s="111"/>
      <x:c r="F25" s="111"/>
      <x:c r="G25" s="111"/>
      <x:c r="H25" s="111"/>
      <x:c r="I25" s="111"/>
      <x:c r="J25" s="111"/>
      <x:c r="K25" s="2"/>
      <x:c r="L25" s="2"/>
      <x:c r="M25" s="2"/>
      <x:c r="N25" s="2"/>
    </x:row>
    <x:row r="26" ht="21" hidden="0" customHeight="1">
      <x:c r="A26" s="90"/>
      <x:c r="B26" s="111"/>
      <x:c r="C26" s="111"/>
      <x:c r="D26" s="111"/>
      <x:c r="E26" s="111"/>
      <x:c r="F26" s="111"/>
      <x:c r="G26" s="111"/>
      <x:c r="H26" s="111"/>
      <x:c r="I26" s="111"/>
      <x:c r="J26" s="111"/>
      <x:c r="K26" s="2"/>
      <x:c r="L26" s="2"/>
      <x:c r="M26" s="2"/>
      <x:c r="N26" s="2"/>
    </x:row>
    <x:row r="27" ht="21" hidden="0" customHeight="1">
      <x:c r="A27" s="90"/>
      <x:c r="B27" s="90"/>
      <x:c r="C27" s="90"/>
      <x:c r="D27" s="90"/>
      <x:c r="E27" s="90"/>
      <x:c r="F27" s="90"/>
      <x:c r="G27" s="90"/>
      <x:c r="H27" s="90"/>
      <x:c r="I27" s="90"/>
      <x:c r="J27" s="90"/>
      <x:c r="K27" s="2"/>
      <x:c r="L27" s="2"/>
      <x:c r="M27" s="2"/>
      <x:c r="N27" s="2"/>
    </x:row>
    <x:row r="28" ht="21" hidden="0" customHeight="1">
      <x:c r="A28" s="90"/>
      <x:c r="B28" s="90"/>
      <x:c r="C28" s="90"/>
      <x:c r="D28" s="90"/>
      <x:c r="E28" s="90"/>
      <x:c r="F28" s="90"/>
      <x:c r="G28" s="90"/>
      <x:c r="H28" s="90"/>
      <x:c r="I28" s="90"/>
      <x:c r="J28" s="90"/>
      <x:c r="K28" s="2"/>
      <x:c r="L28" s="2"/>
      <x:c r="M28" s="2"/>
      <x:c r="N28" s="2"/>
    </x:row>
    <x:row r="29" ht="21" hidden="0" customHeight="1">
      <x:c r="A29" s="90"/>
      <x:c r="B29" s="111" t="str">
        <x:v>4. Checks and Sensitivities: confirm the calculations and examine how far value moves when the assumptions change.</x:v>
      </x:c>
      <x:c r="C29" s="111"/>
      <x:c r="D29" s="111"/>
      <x:c r="E29" s="111"/>
      <x:c r="F29" s="111"/>
      <x:c r="G29" s="111"/>
      <x:c r="H29" s="111"/>
      <x:c r="I29" s="111"/>
      <x:c r="J29" s="111"/>
      <x:c r="K29" s="2"/>
      <x:c r="L29" s="2"/>
      <x:c r="M29" s="2"/>
      <x:c r="N29" s="2"/>
    </x:row>
    <x:row r="30" ht="21" hidden="0" customHeight="1">
      <x:c r="A30" s="90"/>
      <x:c r="B30" s="111"/>
      <x:c r="C30" s="111"/>
      <x:c r="D30" s="111"/>
      <x:c r="E30" s="111"/>
      <x:c r="F30" s="111"/>
      <x:c r="G30" s="111"/>
      <x:c r="H30" s="111"/>
      <x:c r="I30" s="111"/>
      <x:c r="J30" s="111"/>
      <x:c r="K30" s="2"/>
      <x:c r="L30" s="2"/>
      <x:c r="M30" s="2"/>
      <x:c r="N30" s="2"/>
    </x:row>
    <x:row r="31" ht="21" hidden="0" customHeight="1">
      <x:c r="A31" s="90"/>
      <x:c r="B31" s="111"/>
      <x:c r="C31" s="111"/>
      <x:c r="D31" s="111"/>
      <x:c r="E31" s="111"/>
      <x:c r="F31" s="111"/>
      <x:c r="G31" s="111"/>
      <x:c r="H31" s="111"/>
      <x:c r="I31" s="111"/>
      <x:c r="J31" s="111"/>
      <x:c r="K31" s="2"/>
      <x:c r="L31" s="2"/>
      <x:c r="M31" s="2"/>
      <x:c r="N31" s="2"/>
    </x:row>
    <x:row r="32" ht="21" hidden="0" customHeight="1">
      <x:c r="A32" s="90"/>
      <x:c r="B32" s="90"/>
      <x:c r="C32" s="90"/>
      <x:c r="D32" s="90"/>
      <x:c r="E32" s="90"/>
      <x:c r="F32" s="90"/>
      <x:c r="G32" s="90"/>
      <x:c r="H32" s="90"/>
      <x:c r="I32" s="90"/>
      <x:c r="J32" s="90"/>
      <x:c r="K32" s="2"/>
      <x:c r="L32" s="2"/>
      <x:c r="M32" s="2"/>
      <x:c r="N32" s="2"/>
    </x:row>
    <x:row r="33" ht="21" hidden="0" customHeight="1">
      <x:c r="A33" s="90"/>
      <x:c r="B33" s="90"/>
      <x:c r="C33" s="90"/>
      <x:c r="D33" s="90"/>
      <x:c r="E33" s="90"/>
      <x:c r="F33" s="90"/>
      <x:c r="G33" s="90"/>
      <x:c r="H33" s="90"/>
      <x:c r="I33" s="90"/>
      <x:c r="J33" s="90"/>
      <x:c r="K33" s="2"/>
      <x:c r="L33" s="2"/>
      <x:c r="M33" s="2"/>
      <x:c r="N33" s="2"/>
    </x:row>
    <x:row r="34" ht="21" hidden="0" customHeight="1">
      <x:c r="A34" s="90"/>
      <x:c r="B34" s="111" t="str">
        <x:v>Blue = editable input; green = linked calculation; black = calculation or reported source. US$ millions except shares, per-share amounts and ratios.</x:v>
      </x:c>
      <x:c r="C34" s="111"/>
      <x:c r="D34" s="111"/>
      <x:c r="E34" s="111"/>
      <x:c r="F34" s="111"/>
      <x:c r="G34" s="111"/>
      <x:c r="H34" s="111"/>
      <x:c r="I34" s="111"/>
      <x:c r="J34" s="111"/>
      <x:c r="K34" s="2"/>
      <x:c r="L34" s="2"/>
      <x:c r="M34" s="2"/>
      <x:c r="N34" s="2"/>
    </x:row>
    <x:row r="35" ht="21" hidden="0" customHeight="1">
      <x:c r="A35" s="90"/>
      <x:c r="B35" s="111"/>
      <x:c r="C35" s="111"/>
      <x:c r="D35" s="111"/>
      <x:c r="E35" s="111"/>
      <x:c r="F35" s="111"/>
      <x:c r="G35" s="111"/>
      <x:c r="H35" s="111"/>
      <x:c r="I35" s="111"/>
      <x:c r="J35" s="111"/>
      <x:c r="K35" s="2"/>
      <x:c r="L35" s="2"/>
      <x:c r="M35" s="2"/>
      <x:c r="N35" s="2"/>
    </x:row>
    <x:row r="36" ht="21" hidden="0" customHeight="1">
      <x:c r="A36" s="90"/>
      <x:c r="B36" s="111"/>
      <x:c r="C36" s="111"/>
      <x:c r="D36" s="111"/>
      <x:c r="E36" s="111"/>
      <x:c r="F36" s="111"/>
      <x:c r="G36" s="111"/>
      <x:c r="H36" s="111"/>
      <x:c r="I36" s="111"/>
      <x:c r="J36" s="111"/>
      <x:c r="K36" s="2"/>
      <x:c r="L36" s="2"/>
      <x:c r="M36" s="2"/>
      <x:c r="N36" s="2"/>
    </x:row>
    <x:row r="37" ht="21" hidden="0" customHeight="1">
      <x:c r="A37" s="90"/>
      <x:c r="B37" s="90"/>
      <x:c r="C37" s="90"/>
      <x:c r="D37" s="90"/>
      <x:c r="E37" s="90"/>
      <x:c r="F37" s="90"/>
      <x:c r="G37" s="90"/>
      <x:c r="H37" s="90"/>
      <x:c r="I37" s="90"/>
      <x:c r="J37" s="90"/>
      <x:c r="K37" s="2"/>
      <x:c r="L37" s="2"/>
      <x:c r="M37" s="2"/>
      <x:c r="N37" s="2"/>
    </x:row>
    <x:row r="38" ht="21" hidden="0" customHeight="1">
      <x:c r="A38" s="90"/>
      <x:c r="B38" s="90"/>
      <x:c r="C38" s="90"/>
      <x:c r="D38" s="90"/>
      <x:c r="E38" s="90"/>
      <x:c r="F38" s="90"/>
      <x:c r="G38" s="90"/>
      <x:c r="H38" s="90"/>
      <x:c r="I38" s="90"/>
      <x:c r="J38" s="90"/>
      <x:c r="K38" s="2"/>
      <x:c r="L38" s="2"/>
      <x:c r="M38" s="2"/>
      <x:c r="N38" s="2"/>
    </x:row>
    <x:row r="39" ht="21" hidden="0" customHeight="1">
      <x:c r="A39" s="90"/>
      <x:c r="B39" s="90"/>
      <x:c r="C39" s="90"/>
      <x:c r="D39" s="90"/>
      <x:c r="E39" s="90"/>
      <x:c r="F39" s="90"/>
      <x:c r="G39" s="90"/>
      <x:c r="H39" s="90"/>
      <x:c r="I39" s="90"/>
      <x:c r="J39" s="90"/>
      <x:c r="K39" s="2"/>
      <x:c r="L39" s="2"/>
      <x:c r="M39" s="2"/>
      <x:c r="N39" s="2"/>
    </x:row>
    <x:row r="40" ht="21" hidden="0" customHeight="1">
      <x:c r="A40" s="90"/>
      <x:c r="B40" s="90"/>
      <x:c r="C40" s="90"/>
      <x:c r="D40" s="90"/>
      <x:c r="E40" s="90"/>
      <x:c r="F40" s="90"/>
      <x:c r="G40" s="90"/>
      <x:c r="H40" s="90"/>
      <x:c r="I40" s="90"/>
      <x:c r="J40" s="90"/>
      <x:c r="K40" s="2"/>
      <x:c r="L40" s="2"/>
      <x:c r="M40" s="2"/>
      <x:c r="N40" s="2"/>
    </x:row>
    <x:row r="41" ht="21" hidden="0" customHeight="1">
      <x:c r="A41" s="90"/>
      <x:c r="B41" s="90"/>
      <x:c r="C41" s="90"/>
      <x:c r="D41" s="90"/>
      <x:c r="E41" s="90"/>
      <x:c r="F41" s="90"/>
      <x:c r="G41" s="90"/>
      <x:c r="H41" s="90"/>
      <x:c r="I41" s="90"/>
      <x:c r="J41" s="90"/>
      <x:c r="K41" s="2"/>
      <x:c r="L41" s="2"/>
      <x:c r="M41" s="2"/>
      <x:c r="N41" s="2"/>
    </x:row>
    <x:row r="42" ht="21" hidden="0" customHeight="1">
      <x:c r="A42" s="90"/>
      <x:c r="B42" s="90"/>
      <x:c r="C42" s="90"/>
      <x:c r="D42" s="90"/>
      <x:c r="E42" s="90"/>
      <x:c r="F42" s="90"/>
      <x:c r="G42" s="90"/>
      <x:c r="H42" s="90"/>
      <x:c r="I42" s="90"/>
      <x:c r="J42" s="90"/>
      <x:c r="K42" s="2"/>
      <x:c r="L42" s="2"/>
      <x:c r="M42" s="2"/>
      <x:c r="N42" s="2"/>
    </x:row>
    <x:row r="43" ht="21" hidden="0" customHeight="1">
      <x:c r="A43" s="90"/>
      <x:c r="B43" s="90"/>
      <x:c r="C43" s="90"/>
      <x:c r="D43" s="90"/>
      <x:c r="E43" s="90"/>
      <x:c r="F43" s="90"/>
      <x:c r="G43" s="90"/>
      <x:c r="H43" s="90"/>
      <x:c r="I43" s="90"/>
      <x:c r="J43" s="90"/>
      <x:c r="K43" s="2"/>
      <x:c r="L43" s="2"/>
      <x:c r="M43" s="2"/>
      <x:c r="N43" s="2"/>
    </x:row>
    <x:row r="44" ht="21" hidden="0" customHeight="1">
      <x:c r="A44" s="90"/>
      <x:c r="B44" s="90"/>
      <x:c r="C44" s="90"/>
      <x:c r="D44" s="90"/>
      <x:c r="E44" s="90"/>
      <x:c r="F44" s="90"/>
      <x:c r="G44" s="90"/>
      <x:c r="H44" s="90"/>
      <x:c r="I44" s="90"/>
      <x:c r="J44" s="90"/>
      <x:c r="K44" s="2"/>
      <x:c r="L44" s="2"/>
      <x:c r="M44" s="2"/>
      <x:c r="N44" s="2"/>
    </x:row>
    <x:row r="45" ht="15" hidden="0">
      <x:c r="A45" s="2"/>
      <x:c r="B45" s="2"/>
      <x:c r="C45" s="2"/>
      <x:c r="D45" s="2"/>
      <x:c r="E45" s="2"/>
      <x:c r="F45" s="2"/>
      <x:c r="G45" s="2"/>
      <x:c r="H45" s="2"/>
      <x:c r="I45" s="2"/>
      <x:c r="J45" s="2"/>
      <x:c r="K45" s="2"/>
      <x:c r="L45" s="2"/>
      <x:c r="M45" s="2"/>
      <x:c r="N45" s="2"/>
    </x:row>
    <x:row r="46" ht="15" hidden="0">
      <x:c r="A46" s="2"/>
      <x:c r="B46" s="2"/>
      <x:c r="C46" s="2"/>
      <x:c r="D46" s="2"/>
      <x:c r="E46" s="2"/>
      <x:c r="F46" s="2"/>
      <x:c r="G46" s="2"/>
      <x:c r="H46" s="2"/>
      <x:c r="I46" s="2"/>
      <x:c r="J46" s="2"/>
      <x:c r="K46" s="2"/>
      <x:c r="L46" s="2"/>
      <x:c r="M46" s="2"/>
      <x:c r="N46" s="2"/>
    </x:row>
    <x:row r="47" ht="15" hidden="0">
      <x:c r="A47" s="2"/>
      <x:c r="B47" s="2"/>
      <x:c r="C47" s="2"/>
      <x:c r="D47" s="2"/>
      <x:c r="E47" s="2"/>
      <x:c r="F47" s="2"/>
      <x:c r="G47" s="2"/>
      <x:c r="H47" s="2"/>
      <x:c r="I47" s="2"/>
      <x:c r="J47" s="2"/>
      <x:c r="K47" s="2"/>
      <x:c r="L47" s="2"/>
      <x:c r="M47" s="2"/>
      <x:c r="N47" s="2"/>
    </x:row>
    <x:row r="48" ht="15" hidden="0">
      <x:c r="A48" s="2"/>
      <x:c r="B48" s="2"/>
      <x:c r="C48" s="2"/>
      <x:c r="D48" s="2"/>
      <x:c r="E48" s="2"/>
      <x:c r="F48" s="2"/>
      <x:c r="G48" s="2"/>
      <x:c r="H48" s="2"/>
      <x:c r="I48" s="2"/>
      <x:c r="J48" s="2"/>
      <x:c r="K48" s="2"/>
      <x:c r="L48" s="2"/>
      <x:c r="M48" s="2"/>
      <x:c r="N48" s="2"/>
    </x:row>
    <x:row r="49" ht="15" hidden="0">
      <x:c r="A49" s="2"/>
      <x:c r="B49" s="2"/>
      <x:c r="C49" s="2"/>
      <x:c r="D49" s="2"/>
      <x:c r="E49" s="2"/>
      <x:c r="F49" s="2"/>
      <x:c r="G49" s="2"/>
      <x:c r="H49" s="2"/>
      <x:c r="I49" s="2"/>
      <x:c r="J49" s="2"/>
      <x:c r="K49" s="2"/>
      <x:c r="L49" s="2"/>
      <x:c r="M49" s="2"/>
      <x:c r="N49" s="2"/>
    </x:row>
    <x:row r="50" ht="15" hidden="0">
      <x:c r="A50" s="2"/>
      <x:c r="B50" s="2"/>
      <x:c r="C50" s="2"/>
      <x:c r="D50" s="2"/>
      <x:c r="E50" s="2"/>
      <x:c r="F50" s="2"/>
      <x:c r="G50" s="2"/>
      <x:c r="H50" s="2"/>
      <x:c r="I50" s="2"/>
      <x:c r="J50" s="2"/>
      <x:c r="K50" s="2"/>
      <x:c r="L50" s="2"/>
      <x:c r="M50" s="2"/>
      <x:c r="N50" s="2"/>
    </x:row>
    <x:row r="51" ht="15" hidden="0">
      <x:c r="A51" s="2"/>
      <x:c r="B51" s="2"/>
      <x:c r="C51" s="2"/>
      <x:c r="D51" s="2"/>
      <x:c r="E51" s="2"/>
      <x:c r="F51" s="2"/>
      <x:c r="G51" s="2"/>
      <x:c r="H51" s="2"/>
      <x:c r="I51" s="2"/>
      <x:c r="J51" s="2"/>
      <x:c r="K51" s="2"/>
      <x:c r="L51" s="2"/>
      <x:c r="M51" s="2"/>
      <x:c r="N51" s="2"/>
    </x:row>
    <x:row r="52" ht="15" hidden="0">
      <x:c r="A52" s="2"/>
      <x:c r="B52" s="2"/>
      <x:c r="C52" s="2"/>
      <x:c r="D52" s="2"/>
      <x:c r="E52" s="2"/>
      <x:c r="F52" s="2"/>
      <x:c r="G52" s="2"/>
      <x:c r="H52" s="2"/>
      <x:c r="I52" s="2"/>
      <x:c r="J52" s="2"/>
      <x:c r="K52" s="2"/>
      <x:c r="L52" s="2"/>
      <x:c r="M52" s="2"/>
      <x:c r="N52" s="2"/>
    </x:row>
    <x:row r="53" ht="15" hidden="0">
      <x:c r="A53" s="2"/>
      <x:c r="B53" s="2"/>
      <x:c r="C53" s="2"/>
      <x:c r="D53" s="2"/>
      <x:c r="E53" s="2"/>
      <x:c r="F53" s="2"/>
      <x:c r="G53" s="2"/>
      <x:c r="H53" s="2"/>
      <x:c r="I53" s="2"/>
      <x:c r="J53" s="2"/>
      <x:c r="K53" s="2"/>
      <x:c r="L53" s="2"/>
      <x:c r="M53" s="2"/>
      <x:c r="N53" s="2"/>
    </x:row>
    <x:row r="54" ht="15" hidden="0">
      <x:c r="A54" s="2"/>
      <x:c r="B54" s="2"/>
      <x:c r="C54" s="2"/>
      <x:c r="D54" s="2"/>
      <x:c r="E54" s="2"/>
      <x:c r="F54" s="2"/>
      <x:c r="G54" s="2"/>
      <x:c r="H54" s="2"/>
      <x:c r="I54" s="2"/>
      <x:c r="J54" s="2"/>
      <x:c r="K54" s="2"/>
      <x:c r="L54" s="2"/>
      <x:c r="M54" s="2"/>
      <x:c r="N54" s="2"/>
    </x:row>
    <x:row r="55" ht="15" hidden="0">
      <x:c r="A55" s="2"/>
      <x:c r="B55" s="2"/>
      <x:c r="C55" s="2"/>
      <x:c r="D55" s="2"/>
      <x:c r="E55" s="2"/>
      <x:c r="F55" s="2"/>
      <x:c r="G55" s="2"/>
      <x:c r="H55" s="2"/>
      <x:c r="I55" s="2"/>
      <x:c r="J55" s="2"/>
      <x:c r="K55" s="2"/>
      <x:c r="L55" s="2"/>
      <x:c r="M55" s="2"/>
      <x:c r="N55" s="2"/>
    </x:row>
    <x:row r="56" ht="15" hidden="0">
      <x:c r="A56" s="2"/>
      <x:c r="B56" s="2"/>
      <x:c r="C56" s="2"/>
      <x:c r="D56" s="2"/>
      <x:c r="E56" s="2"/>
      <x:c r="F56" s="2"/>
      <x:c r="G56" s="2"/>
      <x:c r="H56" s="2"/>
      <x:c r="I56" s="2"/>
      <x:c r="J56" s="2"/>
      <x:c r="K56" s="2"/>
      <x:c r="L56" s="2"/>
      <x:c r="M56" s="2"/>
      <x:c r="N56" s="2"/>
    </x:row>
    <x:row r="57" ht="15" hidden="0">
      <x:c r="A57" s="2"/>
      <x:c r="B57" s="2"/>
      <x:c r="C57" s="2"/>
      <x:c r="D57" s="2"/>
      <x:c r="E57" s="2"/>
      <x:c r="F57" s="2"/>
      <x:c r="G57" s="2"/>
      <x:c r="H57" s="2"/>
      <x:c r="I57" s="2"/>
      <x:c r="J57" s="2"/>
      <x:c r="K57" s="2"/>
      <x:c r="L57" s="2"/>
      <x:c r="M57" s="2"/>
      <x:c r="N57" s="2"/>
    </x:row>
    <x:row r="58" ht="15" hidden="0">
      <x:c r="A58" s="2"/>
      <x:c r="B58" s="2"/>
      <x:c r="C58" s="2"/>
      <x:c r="D58" s="2"/>
      <x:c r="E58" s="2"/>
      <x:c r="F58" s="2"/>
      <x:c r="G58" s="2"/>
      <x:c r="H58" s="2"/>
      <x:c r="I58" s="2"/>
      <x:c r="J58" s="2"/>
      <x:c r="K58" s="2"/>
      <x:c r="L58" s="2"/>
      <x:c r="M58" s="2"/>
      <x:c r="N58" s="2"/>
    </x:row>
    <x:row r="59" ht="15" hidden="0">
      <x:c r="A59" s="2"/>
      <x:c r="B59" s="2"/>
      <x:c r="C59" s="2"/>
      <x:c r="D59" s="2"/>
      <x:c r="E59" s="2"/>
      <x:c r="F59" s="2"/>
      <x:c r="G59" s="2"/>
      <x:c r="H59" s="2"/>
      <x:c r="I59" s="2"/>
      <x:c r="J59" s="2"/>
      <x:c r="K59" s="2"/>
      <x:c r="L59" s="2"/>
      <x:c r="M59" s="2"/>
      <x:c r="N59" s="2"/>
    </x:row>
    <x:row r="60" ht="15" hidden="0">
      <x:c r="A60" s="2"/>
      <x:c r="B60" s="2"/>
      <x:c r="C60" s="2"/>
      <x:c r="D60" s="2"/>
      <x:c r="E60" s="2"/>
      <x:c r="F60" s="2"/>
      <x:c r="G60" s="2"/>
      <x:c r="H60" s="2"/>
      <x:c r="I60" s="2"/>
      <x:c r="J60" s="2"/>
      <x:c r="K60" s="2"/>
      <x:c r="L60" s="2"/>
      <x:c r="M60" s="2"/>
      <x:c r="N60" s="2"/>
    </x:row>
    <x:row r="61" ht="15" hidden="0">
      <x:c r="A61" s="2"/>
      <x:c r="B61" s="2"/>
      <x:c r="C61" s="2"/>
      <x:c r="D61" s="2"/>
      <x:c r="E61" s="2"/>
      <x:c r="F61" s="2"/>
      <x:c r="G61" s="2"/>
      <x:c r="H61" s="2"/>
      <x:c r="I61" s="2"/>
      <x:c r="J61" s="2"/>
      <x:c r="K61" s="2"/>
      <x:c r="L61" s="2"/>
      <x:c r="M61" s="2"/>
      <x:c r="N61" s="2"/>
    </x:row>
    <x:row r="62" ht="15" hidden="0">
      <x:c r="A62" s="2"/>
      <x:c r="B62" s="2"/>
      <x:c r="C62" s="2"/>
      <x:c r="D62" s="2"/>
      <x:c r="E62" s="2"/>
      <x:c r="F62" s="2"/>
      <x:c r="G62" s="2"/>
      <x:c r="H62" s="2"/>
      <x:c r="I62" s="2"/>
      <x:c r="J62" s="2"/>
      <x:c r="K62" s="2"/>
      <x:c r="L62" s="2"/>
      <x:c r="M62" s="2"/>
      <x:c r="N62" s="2"/>
    </x:row>
    <x:row r="63" ht="15" hidden="0">
      <x:c r="A63" s="2"/>
      <x:c r="B63" s="2"/>
      <x:c r="C63" s="2"/>
      <x:c r="D63" s="2"/>
      <x:c r="E63" s="2"/>
      <x:c r="F63" s="2"/>
      <x:c r="G63" s="2"/>
      <x:c r="H63" s="2"/>
      <x:c r="I63" s="2"/>
      <x:c r="J63" s="2"/>
      <x:c r="K63" s="2"/>
      <x:c r="L63" s="2"/>
      <x:c r="M63" s="2"/>
      <x:c r="N63" s="2"/>
    </x:row>
    <x:row r="64" ht="15" hidden="0">
      <x:c r="A64" s="2"/>
      <x:c r="B64" s="2"/>
      <x:c r="C64" s="2"/>
      <x:c r="D64" s="2"/>
      <x:c r="E64" s="2"/>
      <x:c r="F64" s="2"/>
      <x:c r="G64" s="2"/>
      <x:c r="H64" s="2"/>
      <x:c r="I64" s="2"/>
      <x:c r="J64" s="2"/>
      <x:c r="K64" s="2"/>
      <x:c r="L64" s="2"/>
      <x:c r="M64" s="2"/>
      <x:c r="N64" s="2"/>
    </x:row>
    <x:row r="65" ht="15" hidden="0">
      <x:c r="A65" s="2"/>
      <x:c r="B65" s="2"/>
      <x:c r="C65" s="2"/>
      <x:c r="D65" s="2"/>
      <x:c r="E65" s="2"/>
      <x:c r="F65" s="2"/>
      <x:c r="G65" s="2"/>
      <x:c r="H65" s="2"/>
      <x:c r="I65" s="2"/>
      <x:c r="J65" s="2"/>
      <x:c r="K65" s="2"/>
      <x:c r="L65" s="2"/>
      <x:c r="M65" s="2"/>
      <x:c r="N65" s="2"/>
    </x:row>
    <x:row r="66" ht="15" hidden="0">
      <x:c r="A66" s="2"/>
      <x:c r="B66" s="2"/>
      <x:c r="C66" s="2"/>
      <x:c r="D66" s="2"/>
      <x:c r="E66" s="2"/>
      <x:c r="F66" s="2"/>
      <x:c r="G66" s="2"/>
      <x:c r="H66" s="2"/>
      <x:c r="I66" s="2"/>
      <x:c r="J66" s="2"/>
      <x:c r="K66" s="2"/>
      <x:c r="L66" s="2"/>
      <x:c r="M66" s="2"/>
      <x:c r="N66" s="2"/>
    </x:row>
    <x:row r="67" ht="15" hidden="0">
      <x:c r="A67" s="2"/>
      <x:c r="B67" s="2"/>
      <x:c r="C67" s="2"/>
      <x:c r="D67" s="2"/>
      <x:c r="E67" s="2"/>
      <x:c r="F67" s="2"/>
      <x:c r="G67" s="2"/>
      <x:c r="H67" s="2"/>
      <x:c r="I67" s="2"/>
      <x:c r="J67" s="2"/>
      <x:c r="K67" s="2"/>
      <x:c r="L67" s="2"/>
      <x:c r="M67" s="2"/>
      <x:c r="N67" s="2"/>
    </x:row>
    <x:row r="68" ht="15" hidden="0">
      <x:c r="A68" s="2"/>
      <x:c r="B68" s="2"/>
      <x:c r="C68" s="2"/>
      <x:c r="D68" s="2"/>
      <x:c r="E68" s="2"/>
      <x:c r="F68" s="2"/>
      <x:c r="G68" s="2"/>
      <x:c r="H68" s="2"/>
      <x:c r="I68" s="2"/>
      <x:c r="J68" s="2"/>
      <x:c r="K68" s="2"/>
      <x:c r="L68" s="2"/>
      <x:c r="M68" s="2"/>
      <x:c r="N68" s="2"/>
    </x:row>
    <x:row r="69" ht="15" hidden="0">
      <x:c r="A69" s="2"/>
      <x:c r="B69" s="2"/>
      <x:c r="C69" s="2"/>
      <x:c r="D69" s="2"/>
      <x:c r="E69" s="2"/>
      <x:c r="F69" s="2"/>
      <x:c r="G69" s="2"/>
      <x:c r="H69" s="2"/>
      <x:c r="I69" s="2"/>
      <x:c r="J69" s="2"/>
      <x:c r="K69" s="2"/>
      <x:c r="L69" s="2"/>
      <x:c r="M69" s="2"/>
      <x:c r="N69" s="2"/>
    </x:row>
    <x:row r="70" ht="15" hidden="0">
      <x:c r="A70" s="2"/>
      <x:c r="B70" s="2"/>
      <x:c r="C70" s="2"/>
      <x:c r="D70" s="2"/>
      <x:c r="E70" s="2"/>
      <x:c r="F70" s="2"/>
      <x:c r="G70" s="2"/>
      <x:c r="H70" s="2"/>
      <x:c r="I70" s="2"/>
      <x:c r="J70" s="2"/>
      <x:c r="K70" s="2"/>
      <x:c r="L70" s="2"/>
      <x:c r="M70" s="2"/>
      <x:c r="N70" s="2"/>
    </x:row>
    <x:row r="71" ht="15" hidden="0">
      <x:c r="A71" s="2"/>
      <x:c r="B71" s="2"/>
      <x:c r="C71" s="2"/>
      <x:c r="D71" s="2"/>
      <x:c r="E71" s="2"/>
      <x:c r="F71" s="2"/>
      <x:c r="G71" s="2"/>
      <x:c r="H71" s="2"/>
      <x:c r="I71" s="2"/>
      <x:c r="J71" s="2"/>
      <x:c r="K71" s="2"/>
      <x:c r="L71" s="2"/>
      <x:c r="M71" s="2"/>
      <x:c r="N71" s="2"/>
    </x:row>
    <x:row r="72" ht="15" hidden="0">
      <x:c r="A72" s="2"/>
      <x:c r="B72" s="2"/>
      <x:c r="C72" s="2"/>
      <x:c r="D72" s="2"/>
      <x:c r="E72" s="2"/>
      <x:c r="F72" s="2"/>
      <x:c r="G72" s="2"/>
      <x:c r="H72" s="2"/>
      <x:c r="I72" s="2"/>
      <x:c r="J72" s="2"/>
      <x:c r="K72" s="2"/>
      <x:c r="L72" s="2"/>
      <x:c r="M72" s="2"/>
      <x:c r="N72" s="2"/>
    </x:row>
    <x:row r="73" ht="15" hidden="0">
      <x:c r="A73" s="2"/>
      <x:c r="B73" s="2"/>
      <x:c r="C73" s="2"/>
      <x:c r="D73" s="2"/>
      <x:c r="E73" s="2"/>
      <x:c r="F73" s="2"/>
      <x:c r="G73" s="2"/>
      <x:c r="H73" s="2"/>
      <x:c r="I73" s="2"/>
      <x:c r="J73" s="2"/>
      <x:c r="K73" s="2"/>
      <x:c r="L73" s="2"/>
      <x:c r="M73" s="2"/>
      <x:c r="N73" s="2"/>
    </x:row>
    <x:row r="74" ht="15" hidden="0">
      <x:c r="A74" s="2"/>
      <x:c r="B74" s="2"/>
      <x:c r="C74" s="2"/>
      <x:c r="D74" s="2"/>
      <x:c r="E74" s="2"/>
      <x:c r="F74" s="2"/>
      <x:c r="G74" s="2"/>
      <x:c r="H74" s="2"/>
      <x:c r="I74" s="2"/>
      <x:c r="J74" s="2"/>
      <x:c r="K74" s="2"/>
      <x:c r="L74" s="2"/>
      <x:c r="M74" s="2"/>
      <x:c r="N74" s="2"/>
    </x:row>
    <x:row r="75" ht="15" hidden="0">
      <x:c r="A75" s="2"/>
      <x:c r="B75" s="2"/>
      <x:c r="C75" s="2"/>
      <x:c r="D75" s="2"/>
      <x:c r="E75" s="2"/>
      <x:c r="F75" s="2"/>
      <x:c r="G75" s="2"/>
      <x:c r="H75" s="2"/>
      <x:c r="I75" s="2"/>
      <x:c r="J75" s="2"/>
      <x:c r="K75" s="2"/>
      <x:c r="L75" s="2"/>
      <x:c r="M75" s="2"/>
      <x:c r="N75" s="2"/>
    </x:row>
    <x:row r="76" ht="15" hidden="0">
      <x:c r="A76" s="2"/>
      <x:c r="B76" s="2"/>
      <x:c r="C76" s="2"/>
      <x:c r="D76" s="2"/>
      <x:c r="E76" s="2"/>
      <x:c r="F76" s="2"/>
      <x:c r="G76" s="2"/>
      <x:c r="H76" s="2"/>
      <x:c r="I76" s="2"/>
      <x:c r="J76" s="2"/>
      <x:c r="K76" s="2"/>
      <x:c r="L76" s="2"/>
      <x:c r="M76" s="2"/>
      <x:c r="N76" s="2"/>
    </x:row>
    <x:row r="77" ht="15" hidden="0">
      <x:c r="A77" s="2"/>
      <x:c r="B77" s="2"/>
      <x:c r="C77" s="2"/>
      <x:c r="D77" s="2"/>
      <x:c r="E77" s="2"/>
      <x:c r="F77" s="2"/>
      <x:c r="G77" s="2"/>
      <x:c r="H77" s="2"/>
      <x:c r="I77" s="2"/>
      <x:c r="J77" s="2"/>
      <x:c r="K77" s="2"/>
      <x:c r="L77" s="2"/>
      <x:c r="M77" s="2"/>
      <x:c r="N77" s="2"/>
    </x:row>
    <x:row r="78" ht="15" hidden="0">
      <x:c r="A78" s="2"/>
      <x:c r="B78" s="2"/>
      <x:c r="C78" s="2"/>
      <x:c r="D78" s="2"/>
      <x:c r="E78" s="2"/>
      <x:c r="F78" s="2"/>
      <x:c r="G78" s="2"/>
      <x:c r="H78" s="2"/>
      <x:c r="I78" s="2"/>
      <x:c r="J78" s="2"/>
      <x:c r="K78" s="2"/>
      <x:c r="L78" s="2"/>
      <x:c r="M78" s="2"/>
      <x:c r="N78" s="2"/>
    </x:row>
    <x:row r="79" ht="15" hidden="0">
      <x:c r="A79" s="2"/>
      <x:c r="B79" s="2"/>
      <x:c r="C79" s="2"/>
      <x:c r="D79" s="2"/>
      <x:c r="E79" s="2"/>
      <x:c r="F79" s="2"/>
      <x:c r="G79" s="2"/>
      <x:c r="H79" s="2"/>
      <x:c r="I79" s="2"/>
      <x:c r="J79" s="2"/>
      <x:c r="K79" s="2"/>
      <x:c r="L79" s="2"/>
      <x:c r="M79" s="2"/>
      <x:c r="N79" s="2"/>
    </x:row>
    <x:row r="80" ht="15" hidden="0">
      <x:c r="A80" s="2"/>
      <x:c r="B80" s="2"/>
      <x:c r="C80" s="2"/>
      <x:c r="D80" s="2"/>
      <x:c r="E80" s="2"/>
      <x:c r="F80" s="2"/>
      <x:c r="G80" s="2"/>
      <x:c r="H80" s="2"/>
      <x:c r="I80" s="2"/>
      <x:c r="J80" s="2"/>
      <x:c r="K80" s="2"/>
      <x:c r="L80" s="2"/>
      <x:c r="M80" s="2"/>
      <x:c r="N80" s="2"/>
    </x:row>
    <x:row r="81" ht="15" hidden="0">
      <x:c r="A81" s="2"/>
      <x:c r="B81" s="2"/>
      <x:c r="C81" s="2"/>
      <x:c r="D81" s="2"/>
      <x:c r="E81" s="2"/>
      <x:c r="F81" s="2"/>
      <x:c r="G81" s="2"/>
      <x:c r="H81" s="2"/>
      <x:c r="I81" s="2"/>
      <x:c r="J81" s="2"/>
      <x:c r="K81" s="2"/>
      <x:c r="L81" s="2"/>
      <x:c r="M81" s="2"/>
      <x:c r="N81" s="2"/>
    </x:row>
    <x:row r="82" ht="15" hidden="0">
      <x:c r="A82" s="2"/>
      <x:c r="B82" s="2"/>
      <x:c r="C82" s="2"/>
      <x:c r="D82" s="2"/>
      <x:c r="E82" s="2"/>
      <x:c r="F82" s="2"/>
      <x:c r="G82" s="2"/>
      <x:c r="H82" s="2"/>
      <x:c r="I82" s="2"/>
      <x:c r="J82" s="2"/>
      <x:c r="K82" s="2"/>
      <x:c r="L82" s="2"/>
      <x:c r="M82" s="2"/>
      <x:c r="N82" s="2"/>
    </x:row>
    <x:row r="83" ht="15" hidden="0">
      <x:c r="A83" s="2"/>
      <x:c r="B83" s="2"/>
      <x:c r="C83" s="2"/>
      <x:c r="D83" s="2"/>
      <x:c r="E83" s="2"/>
      <x:c r="F83" s="2"/>
      <x:c r="G83" s="2"/>
      <x:c r="H83" s="2"/>
      <x:c r="I83" s="2"/>
      <x:c r="J83" s="2"/>
      <x:c r="K83" s="2"/>
      <x:c r="L83" s="2"/>
      <x:c r="M83" s="2"/>
      <x:c r="N83" s="2"/>
    </x:row>
    <x:row r="84" ht="15" hidden="0">
      <x:c r="A84" s="2"/>
      <x:c r="B84" s="2"/>
      <x:c r="C84" s="2"/>
      <x:c r="D84" s="2"/>
      <x:c r="E84" s="2"/>
      <x:c r="F84" s="2"/>
      <x:c r="G84" s="2"/>
      <x:c r="H84" s="2"/>
      <x:c r="I84" s="2"/>
      <x:c r="J84" s="2"/>
      <x:c r="K84" s="2"/>
      <x:c r="L84" s="2"/>
      <x:c r="M84" s="2"/>
      <x:c r="N84" s="2"/>
    </x:row>
    <x:row r="85" ht="15" hidden="0">
      <x:c r="A85" s="2"/>
      <x:c r="B85" s="2"/>
      <x:c r="C85" s="2"/>
      <x:c r="D85" s="2"/>
      <x:c r="E85" s="2"/>
      <x:c r="F85" s="2"/>
      <x:c r="G85" s="2"/>
      <x:c r="H85" s="2"/>
      <x:c r="I85" s="2"/>
      <x:c r="J85" s="2"/>
      <x:c r="K85" s="2"/>
      <x:c r="L85" s="2"/>
      <x:c r="M85" s="2"/>
      <x:c r="N85" s="2"/>
    </x:row>
    <x:row r="86" ht="15" hidden="0">
      <x:c r="A86" s="2"/>
      <x:c r="B86" s="2"/>
      <x:c r="C86" s="2"/>
      <x:c r="D86" s="2"/>
      <x:c r="E86" s="2"/>
      <x:c r="F86" s="2"/>
      <x:c r="G86" s="2"/>
      <x:c r="H86" s="2"/>
      <x:c r="I86" s="2"/>
      <x:c r="J86" s="2"/>
      <x:c r="K86" s="2"/>
      <x:c r="L86" s="2"/>
      <x:c r="M86" s="2"/>
      <x:c r="N86" s="2"/>
    </x:row>
    <x:row r="87" ht="15" hidden="0">
      <x:c r="A87" s="2"/>
      <x:c r="B87" s="2"/>
      <x:c r="C87" s="2"/>
      <x:c r="D87" s="2"/>
      <x:c r="E87" s="2"/>
      <x:c r="F87" s="2"/>
      <x:c r="G87" s="2"/>
      <x:c r="H87" s="2"/>
      <x:c r="I87" s="2"/>
      <x:c r="J87" s="2"/>
      <x:c r="K87" s="2"/>
      <x:c r="L87" s="2"/>
      <x:c r="M87" s="2"/>
      <x:c r="N87" s="2"/>
    </x:row>
    <x:row r="88" ht="15" hidden="0">
      <x:c r="A88" s="2"/>
      <x:c r="B88" s="2"/>
      <x:c r="C88" s="2"/>
      <x:c r="D88" s="2"/>
      <x:c r="E88" s="2"/>
      <x:c r="F88" s="2"/>
      <x:c r="G88" s="2"/>
      <x:c r="H88" s="2"/>
      <x:c r="I88" s="2"/>
      <x:c r="J88" s="2"/>
      <x:c r="K88" s="2"/>
      <x:c r="L88" s="2"/>
      <x:c r="M88" s="2"/>
      <x:c r="N88" s="2"/>
    </x:row>
    <x:row r="89" ht="15" hidden="0">
      <x:c r="A89" s="2"/>
      <x:c r="B89" s="2"/>
      <x:c r="C89" s="2"/>
      <x:c r="D89" s="2"/>
      <x:c r="E89" s="2"/>
      <x:c r="F89" s="2"/>
      <x:c r="G89" s="2"/>
      <x:c r="H89" s="2"/>
      <x:c r="I89" s="2"/>
      <x:c r="J89" s="2"/>
      <x:c r="K89" s="2"/>
      <x:c r="L89" s="2"/>
      <x:c r="M89" s="2"/>
      <x:c r="N89" s="2"/>
    </x:row>
    <x:row r="90" ht="15" hidden="0">
      <x:c r="A90" s="2"/>
      <x:c r="B90" s="2"/>
      <x:c r="C90" s="2"/>
      <x:c r="D90" s="2"/>
      <x:c r="E90" s="2"/>
      <x:c r="F90" s="2"/>
      <x:c r="G90" s="2"/>
      <x:c r="H90" s="2"/>
      <x:c r="I90" s="2"/>
      <x:c r="J90" s="2"/>
      <x:c r="K90" s="2"/>
      <x:c r="L90" s="2"/>
      <x:c r="M90" s="2"/>
      <x:c r="N90" s="2"/>
    </x:row>
    <x:row r="91" ht="15" hidden="0">
      <x:c r="A91" s="2"/>
      <x:c r="B91" s="2"/>
      <x:c r="C91" s="2"/>
      <x:c r="D91" s="2"/>
      <x:c r="E91" s="2"/>
      <x:c r="F91" s="2"/>
      <x:c r="G91" s="2"/>
      <x:c r="H91" s="2"/>
      <x:c r="I91" s="2"/>
      <x:c r="J91" s="2"/>
      <x:c r="K91" s="2"/>
      <x:c r="L91" s="2"/>
      <x:c r="M91" s="2"/>
      <x:c r="N91" s="2"/>
    </x:row>
    <x:row r="92" ht="15" hidden="0">
      <x:c r="A92" s="2"/>
      <x:c r="B92" s="2"/>
      <x:c r="C92" s="2"/>
      <x:c r="D92" s="2"/>
      <x:c r="E92" s="2"/>
      <x:c r="F92" s="2"/>
      <x:c r="G92" s="2"/>
      <x:c r="H92" s="2"/>
      <x:c r="I92" s="2"/>
      <x:c r="J92" s="2"/>
      <x:c r="K92" s="2"/>
      <x:c r="L92" s="2"/>
      <x:c r="M92" s="2"/>
      <x:c r="N92" s="2"/>
    </x:row>
    <x:row r="93" ht="15" hidden="0">
      <x:c r="A93" s="2"/>
      <x:c r="B93" s="2"/>
      <x:c r="C93" s="2"/>
      <x:c r="D93" s="2"/>
      <x:c r="E93" s="2"/>
      <x:c r="F93" s="2"/>
      <x:c r="G93" s="2"/>
      <x:c r="H93" s="2"/>
      <x:c r="I93" s="2"/>
      <x:c r="J93" s="2"/>
      <x:c r="K93" s="2"/>
      <x:c r="L93" s="2"/>
      <x:c r="M93" s="2"/>
      <x:c r="N93" s="2"/>
    </x:row>
    <x:row r="94" ht="15" hidden="0">
      <x:c r="A94" s="2"/>
      <x:c r="B94" s="2"/>
      <x:c r="C94" s="2"/>
      <x:c r="D94" s="2"/>
      <x:c r="E94" s="2"/>
      <x:c r="F94" s="2"/>
      <x:c r="G94" s="2"/>
      <x:c r="H94" s="2"/>
      <x:c r="I94" s="2"/>
      <x:c r="J94" s="2"/>
      <x:c r="K94" s="2"/>
      <x:c r="L94" s="2"/>
      <x:c r="M94" s="2"/>
      <x:c r="N94" s="2"/>
    </x:row>
    <x:row r="95" ht="15" hidden="0">
      <x:c r="A95" s="2"/>
      <x:c r="B95" s="2"/>
      <x:c r="C95" s="2"/>
      <x:c r="D95" s="2"/>
      <x:c r="E95" s="2"/>
      <x:c r="F95" s="2"/>
      <x:c r="G95" s="2"/>
      <x:c r="H95" s="2"/>
      <x:c r="I95" s="2"/>
      <x:c r="J95" s="2"/>
      <x:c r="K95" s="2"/>
      <x:c r="L95" s="2"/>
      <x:c r="M95" s="2"/>
      <x:c r="N95" s="2"/>
    </x:row>
    <x:row r="96" ht="15" hidden="0">
      <x:c r="A96" s="2"/>
      <x:c r="B96" s="2"/>
      <x:c r="C96" s="2"/>
      <x:c r="D96" s="2"/>
      <x:c r="E96" s="2"/>
      <x:c r="F96" s="2"/>
      <x:c r="G96" s="2"/>
      <x:c r="H96" s="2"/>
      <x:c r="I96" s="2"/>
      <x:c r="J96" s="2"/>
      <x:c r="K96" s="2"/>
      <x:c r="L96" s="2"/>
      <x:c r="M96" s="2"/>
      <x:c r="N96" s="2"/>
    </x:row>
    <x:row r="97" ht="15" hidden="0">
      <x:c r="A97" s="2"/>
      <x:c r="B97" s="2"/>
      <x:c r="C97" s="2"/>
      <x:c r="D97" s="2"/>
      <x:c r="E97" s="2"/>
      <x:c r="F97" s="2"/>
      <x:c r="G97" s="2"/>
      <x:c r="H97" s="2"/>
      <x:c r="I97" s="2"/>
      <x:c r="J97" s="2"/>
      <x:c r="K97" s="2"/>
      <x:c r="L97" s="2"/>
      <x:c r="M97" s="2"/>
      <x:c r="N97" s="2"/>
    </x:row>
    <x:row r="98" ht="15" hidden="0">
      <x:c r="A98" s="2"/>
      <x:c r="B98" s="2"/>
      <x:c r="C98" s="2"/>
      <x:c r="D98" s="2"/>
      <x:c r="E98" s="2"/>
      <x:c r="F98" s="2"/>
      <x:c r="G98" s="2"/>
      <x:c r="H98" s="2"/>
      <x:c r="I98" s="2"/>
      <x:c r="J98" s="2"/>
      <x:c r="K98" s="2"/>
      <x:c r="L98" s="2"/>
      <x:c r="M98" s="2"/>
      <x:c r="N98" s="2"/>
    </x:row>
    <x:row r="99" ht="15" hidden="0">
      <x:c r="A99" s="2"/>
      <x:c r="B99" s="2"/>
      <x:c r="C99" s="2"/>
      <x:c r="D99" s="2"/>
      <x:c r="E99" s="2"/>
      <x:c r="F99" s="2"/>
      <x:c r="G99" s="2"/>
      <x:c r="H99" s="2"/>
      <x:c r="I99" s="2"/>
      <x:c r="J99" s="2"/>
      <x:c r="K99" s="2"/>
      <x:c r="L99" s="2"/>
      <x:c r="M99" s="2"/>
      <x:c r="N99" s="2"/>
    </x:row>
    <x:row r="100" ht="15" hidden="0">
      <x:c r="A100" s="2"/>
      <x:c r="B100" s="2"/>
      <x:c r="C100" s="2"/>
      <x:c r="D100" s="2"/>
      <x:c r="E100" s="2"/>
      <x:c r="F100" s="2"/>
      <x:c r="G100" s="2"/>
      <x:c r="H100" s="2"/>
      <x:c r="I100" s="2"/>
      <x:c r="J100" s="2"/>
      <x:c r="K100" s="2"/>
      <x:c r="L100" s="2"/>
      <x:c r="M100" s="2"/>
      <x:c r="N100" s="2"/>
    </x:row>
    <x:row r="101" ht="15" hidden="0">
      <x:c r="A101" s="2"/>
      <x:c r="B101" s="2"/>
      <x:c r="C101" s="2"/>
      <x:c r="D101" s="2"/>
      <x:c r="E101" s="2"/>
      <x:c r="F101" s="2"/>
      <x:c r="G101" s="2"/>
      <x:c r="H101" s="2"/>
      <x:c r="I101" s="2"/>
      <x:c r="J101" s="2"/>
      <x:c r="K101" s="2"/>
      <x:c r="L101" s="2"/>
      <x:c r="M101" s="2"/>
      <x:c r="N101" s="2"/>
    </x:row>
    <x:row r="102" ht="15" hidden="0">
      <x:c r="A102" s="2"/>
      <x:c r="B102" s="2"/>
      <x:c r="C102" s="2"/>
      <x:c r="D102" s="2"/>
      <x:c r="E102" s="2"/>
      <x:c r="F102" s="2"/>
      <x:c r="G102" s="2"/>
      <x:c r="H102" s="2"/>
      <x:c r="I102" s="2"/>
      <x:c r="J102" s="2"/>
      <x:c r="K102" s="2"/>
      <x:c r="L102" s="2"/>
      <x:c r="M102" s="2"/>
      <x:c r="N102" s="2"/>
    </x:row>
    <x:row r="103" ht="15" hidden="0">
      <x:c r="A103" s="2"/>
      <x:c r="B103" s="2"/>
      <x:c r="C103" s="2"/>
      <x:c r="D103" s="2"/>
      <x:c r="E103" s="2"/>
      <x:c r="F103" s="2"/>
      <x:c r="G103" s="2"/>
      <x:c r="H103" s="2"/>
      <x:c r="I103" s="2"/>
      <x:c r="J103" s="2"/>
      <x:c r="K103" s="2"/>
      <x:c r="L103" s="2"/>
      <x:c r="M103" s="2"/>
      <x:c r="N103" s="2"/>
    </x:row>
    <x:row r="104" ht="15" hidden="0">
      <x:c r="A104" s="2"/>
      <x:c r="B104" s="2"/>
      <x:c r="C104" s="2"/>
      <x:c r="D104" s="2"/>
      <x:c r="E104" s="2"/>
      <x:c r="F104" s="2"/>
      <x:c r="G104" s="2"/>
      <x:c r="H104" s="2"/>
      <x:c r="I104" s="2"/>
      <x:c r="J104" s="2"/>
      <x:c r="K104" s="2"/>
      <x:c r="L104" s="2"/>
      <x:c r="M104" s="2"/>
      <x:c r="N104" s="2"/>
    </x:row>
    <x:row r="105" ht="15" hidden="0">
      <x:c r="A105" s="2"/>
      <x:c r="B105" s="2"/>
      <x:c r="C105" s="2"/>
      <x:c r="D105" s="2"/>
      <x:c r="E105" s="2"/>
      <x:c r="F105" s="2"/>
      <x:c r="G105" s="2"/>
      <x:c r="H105" s="2"/>
      <x:c r="I105" s="2"/>
      <x:c r="J105" s="2"/>
      <x:c r="K105" s="2"/>
      <x:c r="L105" s="2"/>
      <x:c r="M105" s="2"/>
      <x:c r="N105" s="2"/>
    </x:row>
    <x:row r="106" ht="15" hidden="0">
      <x:c r="A106" s="2"/>
      <x:c r="B106" s="2"/>
      <x:c r="C106" s="2"/>
      <x:c r="D106" s="2"/>
      <x:c r="E106" s="2"/>
      <x:c r="F106" s="2"/>
      <x:c r="G106" s="2"/>
      <x:c r="H106" s="2"/>
      <x:c r="I106" s="2"/>
      <x:c r="J106" s="2"/>
      <x:c r="K106" s="2"/>
      <x:c r="L106" s="2"/>
      <x:c r="M106" s="2"/>
      <x:c r="N106" s="2"/>
    </x:row>
    <x:row r="107" ht="15" hidden="0">
      <x:c r="A107" s="2"/>
      <x:c r="B107" s="2"/>
      <x:c r="C107" s="2"/>
      <x:c r="D107" s="2"/>
      <x:c r="E107" s="2"/>
      <x:c r="F107" s="2"/>
      <x:c r="G107" s="2"/>
      <x:c r="H107" s="2"/>
      <x:c r="I107" s="2"/>
      <x:c r="J107" s="2"/>
      <x:c r="K107" s="2"/>
      <x:c r="L107" s="2"/>
      <x:c r="M107" s="2"/>
      <x:c r="N107" s="2"/>
    </x:row>
    <x:row r="108" ht="15" hidden="0">
      <x:c r="A108" s="2"/>
      <x:c r="B108" s="2"/>
      <x:c r="C108" s="2"/>
      <x:c r="D108" s="2"/>
      <x:c r="E108" s="2"/>
      <x:c r="F108" s="2"/>
      <x:c r="G108" s="2"/>
      <x:c r="H108" s="2"/>
      <x:c r="I108" s="2"/>
      <x:c r="J108" s="2"/>
      <x:c r="K108" s="2"/>
      <x:c r="L108" s="2"/>
      <x:c r="M108" s="2"/>
      <x:c r="N108" s="2"/>
    </x:row>
    <x:row r="109" ht="15" hidden="0">
      <x:c r="A109" s="2"/>
      <x:c r="B109" s="2"/>
      <x:c r="C109" s="2"/>
      <x:c r="D109" s="2"/>
      <x:c r="E109" s="2"/>
      <x:c r="F109" s="2"/>
      <x:c r="G109" s="2"/>
      <x:c r="H109" s="2"/>
      <x:c r="I109" s="2"/>
      <x:c r="J109" s="2"/>
      <x:c r="K109" s="2"/>
      <x:c r="L109" s="2"/>
      <x:c r="M109" s="2"/>
      <x:c r="N109" s="2"/>
    </x:row>
    <x:row r="110" ht="15" hidden="0">
      <x:c r="A110" s="2"/>
      <x:c r="B110" s="2"/>
      <x:c r="C110" s="2"/>
      <x:c r="D110" s="2"/>
      <x:c r="E110" s="2"/>
      <x:c r="F110" s="2"/>
      <x:c r="G110" s="2"/>
      <x:c r="H110" s="2"/>
      <x:c r="I110" s="2"/>
      <x:c r="J110" s="2"/>
      <x:c r="K110" s="2"/>
      <x:c r="L110" s="2"/>
      <x:c r="M110" s="2"/>
      <x:c r="N110" s="2"/>
    </x:row>
    <x:row r="111" ht="15" hidden="0">
      <x:c r="A111" s="2"/>
      <x:c r="B111" s="2"/>
      <x:c r="C111" s="2"/>
      <x:c r="D111" s="2"/>
      <x:c r="E111" s="2"/>
      <x:c r="F111" s="2"/>
      <x:c r="G111" s="2"/>
      <x:c r="H111" s="2"/>
      <x:c r="I111" s="2"/>
      <x:c r="J111" s="2"/>
      <x:c r="K111" s="2"/>
      <x:c r="L111" s="2"/>
      <x:c r="M111" s="2"/>
      <x:c r="N111" s="2"/>
    </x:row>
    <x:row r="112" ht="15" hidden="0">
      <x:c r="A112" s="2"/>
      <x:c r="B112" s="2"/>
      <x:c r="C112" s="2"/>
      <x:c r="D112" s="2"/>
      <x:c r="E112" s="2"/>
      <x:c r="F112" s="2"/>
      <x:c r="G112" s="2"/>
      <x:c r="H112" s="2"/>
      <x:c r="I112" s="2"/>
      <x:c r="J112" s="2"/>
      <x:c r="K112" s="2"/>
      <x:c r="L112" s="2"/>
      <x:c r="M112" s="2"/>
      <x:c r="N112" s="2"/>
    </x:row>
    <x:row r="113" ht="15" hidden="0">
      <x:c r="A113" s="2"/>
      <x:c r="B113" s="2"/>
      <x:c r="C113" s="2"/>
      <x:c r="D113" s="2"/>
      <x:c r="E113" s="2"/>
      <x:c r="F113" s="2"/>
      <x:c r="G113" s="2"/>
      <x:c r="H113" s="2"/>
      <x:c r="I113" s="2"/>
      <x:c r="J113" s="2"/>
      <x:c r="K113" s="2"/>
      <x:c r="L113" s="2"/>
      <x:c r="M113" s="2"/>
      <x:c r="N113" s="2"/>
    </x:row>
    <x:row r="114" ht="15" hidden="0">
      <x:c r="A114" s="2"/>
      <x:c r="B114" s="2"/>
      <x:c r="C114" s="2"/>
      <x:c r="D114" s="2"/>
      <x:c r="E114" s="2"/>
      <x:c r="F114" s="2"/>
      <x:c r="G114" s="2"/>
      <x:c r="H114" s="2"/>
      <x:c r="I114" s="2"/>
      <x:c r="J114" s="2"/>
      <x:c r="K114" s="2"/>
      <x:c r="L114" s="2"/>
      <x:c r="M114" s="2"/>
      <x:c r="N114" s="2"/>
    </x:row>
    <x:row r="115" ht="15" hidden="0">
      <x:c r="A115" s="2"/>
      <x:c r="B115" s="2"/>
      <x:c r="C115" s="2"/>
      <x:c r="D115" s="2"/>
      <x:c r="E115" s="2"/>
      <x:c r="F115" s="2"/>
      <x:c r="G115" s="2"/>
      <x:c r="H115" s="2"/>
      <x:c r="I115" s="2"/>
      <x:c r="J115" s="2"/>
      <x:c r="K115" s="2"/>
      <x:c r="L115" s="2"/>
      <x:c r="M115" s="2"/>
      <x:c r="N115" s="2"/>
    </x:row>
    <x:row r="116" ht="15" hidden="0">
      <x:c r="A116" s="2"/>
      <x:c r="B116" s="2"/>
      <x:c r="C116" s="2"/>
      <x:c r="D116" s="2"/>
      <x:c r="E116" s="2"/>
      <x:c r="F116" s="2"/>
      <x:c r="G116" s="2"/>
      <x:c r="H116" s="2"/>
      <x:c r="I116" s="2"/>
      <x:c r="J116" s="2"/>
      <x:c r="K116" s="2"/>
      <x:c r="L116" s="2"/>
      <x:c r="M116" s="2"/>
      <x:c r="N116" s="2"/>
    </x:row>
    <x:row r="117" ht="15" hidden="0">
      <x:c r="A117" s="2"/>
      <x:c r="B117" s="2"/>
      <x:c r="C117" s="2"/>
      <x:c r="D117" s="2"/>
      <x:c r="E117" s="2"/>
      <x:c r="F117" s="2"/>
      <x:c r="G117" s="2"/>
      <x:c r="H117" s="2"/>
      <x:c r="I117" s="2"/>
      <x:c r="J117" s="2"/>
      <x:c r="K117" s="2"/>
      <x:c r="L117" s="2"/>
      <x:c r="M117" s="2"/>
      <x:c r="N117" s="2"/>
    </x:row>
    <x:row r="118" ht="15" hidden="0">
      <x:c r="A118" s="2"/>
      <x:c r="B118" s="2"/>
      <x:c r="C118" s="2"/>
      <x:c r="D118" s="2"/>
      <x:c r="E118" s="2"/>
      <x:c r="F118" s="2"/>
      <x:c r="G118" s="2"/>
      <x:c r="H118" s="2"/>
      <x:c r="I118" s="2"/>
      <x:c r="J118" s="2"/>
      <x:c r="K118" s="2"/>
      <x:c r="L118" s="2"/>
      <x:c r="M118" s="2"/>
      <x:c r="N118" s="2"/>
    </x:row>
    <x:row r="119" ht="15" hidden="0">
      <x:c r="A119" s="2"/>
      <x:c r="B119" s="2"/>
      <x:c r="C119" s="2"/>
      <x:c r="D119" s="2"/>
      <x:c r="E119" s="2"/>
      <x:c r="F119" s="2"/>
      <x:c r="G119" s="2"/>
      <x:c r="H119" s="2"/>
      <x:c r="I119" s="2"/>
      <x:c r="J119" s="2"/>
      <x:c r="K119" s="2"/>
      <x:c r="L119" s="2"/>
      <x:c r="M119" s="2"/>
      <x:c r="N119" s="2"/>
    </x:row>
    <x:row r="120" ht="15" hidden="0">
      <x:c r="A120" s="2"/>
      <x:c r="B120" s="2"/>
      <x:c r="C120" s="2"/>
      <x:c r="D120" s="2"/>
      <x:c r="E120" s="2"/>
      <x:c r="F120" s="2"/>
      <x:c r="G120" s="2"/>
      <x:c r="H120" s="2"/>
      <x:c r="I120" s="2"/>
      <x:c r="J120" s="2"/>
      <x:c r="K120" s="2"/>
      <x:c r="L120" s="2"/>
      <x:c r="M120" s="2"/>
      <x:c r="N120" s="2"/>
    </x:row>
  </x:sheetData>
  <x:mergeCells>
    <x:mergeCell ref="A1:J1"/>
    <x:mergeCell ref="A2:J3"/>
    <x:mergeCell ref="B9:J11"/>
    <x:mergeCell ref="B14:J16"/>
    <x:mergeCell ref="B19:J21"/>
    <x:mergeCell ref="B24:J26"/>
    <x:mergeCell ref="B29:J31"/>
    <x:mergeCell ref="B34:J36"/>
  </x:mergeCells>
  <x:pageMargins left="0.7" right="0.7" top="0.75" bottom="0.75" header="0.3" footer="0.3"/>
</x:worksheet>
</file>

<file path=xl/worksheets/sheet2.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5" width="13" hidden="0" customWidth="1"/>
    <x:col min="14" max="16" width="12"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VALUATION SUMMARY</x:v>
      </x:c>
      <x:c r="B1" s="142"/>
      <x:c r="C1" s="142"/>
      <x:c r="D1" s="142"/>
      <x:c r="E1" s="142"/>
      <x:c r="F1" s="142"/>
      <x:c r="G1" s="142"/>
      <x:c r="H1" s="142"/>
      <x:c r="I1" s="142"/>
      <x:c r="J1" s="142"/>
      <x:c r="K1" s="1"/>
      <x:c r="L1" s="1"/>
      <x:c r="M1" s="2"/>
      <x:c r="N1" s="2"/>
      <x:c r="O1" s="2"/>
      <x:c r="P1" s="2"/>
      <x:c r="Q1" s="2"/>
      <x:c r="R1" s="2"/>
    </x:row>
    <x:row r="2" ht="21" hidden="0" customHeight="1">
      <x:c r="A2" s="144" t="str">
        <x:v>Compare standalone cash-flow value with selected multiples. US$ per diluted share.</x:v>
      </x:c>
      <x:c r="B2" s="144"/>
      <x:c r="C2" s="144"/>
      <x:c r="D2" s="144"/>
      <x:c r="E2" s="144"/>
      <x:c r="F2" s="144"/>
      <x:c r="G2" s="144"/>
      <x:c r="H2" s="144"/>
      <x:c r="I2" s="144"/>
      <x:c r="J2" s="144"/>
      <x:c r="K2" s="3"/>
      <x:c r="L2" s="3"/>
      <x:c r="M2" s="2"/>
      <x:c r="N2" s="2"/>
      <x:c r="O2" s="2"/>
      <x:c r="P2" s="2"/>
      <x:c r="Q2" s="2"/>
      <x:c r="R2" s="2"/>
    </x:row>
    <x:row r="3" ht="21" hidden="0" customHeight="1">
      <x:c r="A3" s="94"/>
      <x:c r="B3" s="94"/>
      <x:c r="C3" s="94"/>
      <x:c r="D3" s="94"/>
      <x:c r="E3" s="94"/>
      <x:c r="F3" s="94"/>
      <x:c r="G3" s="94"/>
      <x:c r="H3" s="94"/>
      <x:c r="I3" s="94"/>
      <x:c r="J3" s="94"/>
      <x:c r="K3" s="2"/>
      <x:c r="L3" s="2"/>
      <x:c r="M3" s="2"/>
      <x:c r="N3" s="2"/>
      <x:c r="O3" s="2"/>
      <x:c r="P3" s="2"/>
      <x:c r="Q3" s="2"/>
      <x:c r="R3" s="2"/>
    </x:row>
    <x:row r="4" ht="21" hidden="0" customHeight="1">
      <x:c r="A4" s="115"/>
      <x:c r="B4" s="115"/>
      <x:c r="C4" s="115"/>
      <x:c r="D4" s="115"/>
      <x:c r="E4" s="115"/>
      <x:c r="F4" s="115"/>
      <x:c r="G4" s="115"/>
      <x:c r="H4" s="115"/>
      <x:c r="I4" s="115"/>
      <x:c r="J4" s="115"/>
      <x:c r="K4" s="13"/>
      <x:c r="L4" s="13"/>
      <x:c r="M4" s="2"/>
      <x:c r="N4" s="6"/>
      <x:c r="O4" s="2"/>
      <x:c r="P4" s="2"/>
      <x:c r="Q4" s="2"/>
      <x:c r="R4" s="2"/>
    </x:row>
    <x:row r="5" ht="21" hidden="0" customHeight="1">
      <x:c r="A5" s="90"/>
      <x:c r="B5" s="115" t="str">
        <x:v>Scenario</x:v>
      </x:c>
      <x:c r="C5" s="214" t="str">
        <x:f>'Assumptions'!C6</x:f>
        <x:v>BASE</x:v>
      </x:c>
      <x:c r="D5" s="118"/>
      <x:c r="E5" s="118"/>
      <x:c r="F5" s="90"/>
      <x:c r="G5" s="90"/>
      <x:c r="H5" s="90"/>
      <x:c r="I5" s="90"/>
      <x:c r="J5" s="90"/>
      <x:c r="K5" s="2"/>
      <x:c r="L5" s="2"/>
      <x:c r="M5" s="2"/>
      <x:c r="N5" s="6"/>
      <x:c r="O5" s="14"/>
      <x:c r="P5" s="14"/>
      <x:c r="Q5" s="2"/>
      <x:c r="R5" s="2"/>
    </x:row>
    <x:row r="6" ht="21" hidden="0" customHeight="1">
      <x:c r="A6" s="90"/>
      <x:c r="B6" s="90" t="str">
        <x:v>Calculation status</x:v>
      </x:c>
      <x:c r="C6" s="272" t="str">
        <x:f aca="0">'Checks'!F27</x:f>
        <x:v>PASS</x:v>
      </x:c>
      <x:c r="D6" s="191">
        <x:f aca="0"/>
      </x:c>
      <x:c r="E6" s="193">
        <x:f aca="0"/>
      </x:c>
      <x:c r="F6" s="90"/>
      <x:c r="G6" s="90"/>
      <x:c r="H6" s="90"/>
      <x:c r="I6" s="90"/>
      <x:c r="J6" s="90"/>
      <x:c r="K6" s="2"/>
      <x:c r="L6" s="2"/>
      <x:c r="M6" s="2"/>
      <x:c r="N6" s="7"/>
      <x:c r="O6" s="17">
        <x:f aca="0"/>
      </x:c>
      <x:c r="P6" s="17">
        <x:f aca="0"/>
      </x:c>
      <x:c r="Q6" s="2"/>
      <x:c r="R6" s="2"/>
    </x:row>
    <x:row r="7" ht="21" hidden="0" customHeight="1">
      <x:c r="A7" s="90"/>
      <x:c r="B7" s="90"/>
      <x:c r="C7" s="191">
        <x:f aca="0"/>
      </x:c>
      <x:c r="D7" s="191">
        <x:f aca="0"/>
      </x:c>
      <x:c r="E7" s="193">
        <x:f aca="0"/>
      </x:c>
      <x:c r="F7" s="90"/>
      <x:c r="G7" s="90"/>
      <x:c r="H7" s="90"/>
      <x:c r="I7" s="90"/>
      <x:c r="J7" s="90"/>
      <x:c r="K7" s="2"/>
      <x:c r="L7" s="2"/>
      <x:c r="M7" s="2"/>
      <x:c r="N7" s="7"/>
      <x:c r="O7" s="17">
        <x:f aca="0"/>
      </x:c>
      <x:c r="P7" s="17">
        <x:f aca="0"/>
      </x:c>
      <x:c r="Q7" s="2"/>
      <x:c r="R7" s="2"/>
    </x:row>
    <x:row r="8" ht="21" hidden="0" customHeight="1">
      <x:c r="A8" s="90"/>
      <x:c r="B8" s="90"/>
      <x:c r="C8" s="191">
        <x:f aca="0"/>
      </x:c>
      <x:c r="D8" s="191">
        <x:f aca="0"/>
      </x:c>
      <x:c r="E8" s="193">
        <x:f aca="0"/>
      </x:c>
      <x:c r="F8" s="90"/>
      <x:c r="G8" s="90"/>
      <x:c r="H8" s="90"/>
      <x:c r="I8" s="90"/>
      <x:c r="J8" s="90"/>
      <x:c r="K8" s="2"/>
      <x:c r="L8" s="2"/>
      <x:c r="M8" s="2"/>
      <x:c r="N8" s="7"/>
      <x:c r="O8" s="17">
        <x:f aca="0"/>
      </x:c>
      <x:c r="P8" s="17">
        <x:f aca="0"/>
      </x:c>
      <x:c r="Q8" s="2"/>
      <x:c r="R8" s="2"/>
    </x:row>
    <x:row r="9" ht="21" hidden="0" customHeight="1">
      <x:c r="A9" s="90"/>
      <x:c r="B9" s="90" t="str">
        <x:v>Method</x:v>
      </x:c>
      <x:c r="C9" s="191" t="str">
        <x:f aca="0"/>
        <x:v>Low / point</x:v>
      </x:c>
      <x:c r="D9" s="191" t="str">
        <x:f aca="0"/>
        <x:v>High / point</x:v>
      </x:c>
      <x:c r="E9" s="193">
        <x:f aca="0"/>
      </x:c>
      <x:c r="F9" s="90" t="str">
        <x:v>Method</x:v>
      </x:c>
      <x:c r="G9" s="90" t="str">
        <x:v>Value / share</x:v>
      </x:c>
      <x:c r="H9" s="90"/>
      <x:c r="I9" s="90"/>
      <x:c r="J9" s="90"/>
      <x:c r="K9" s="2"/>
      <x:c r="L9" s="2"/>
      <x:c r="M9" s="2"/>
      <x:c r="N9" s="2"/>
      <x:c r="O9" s="2"/>
      <x:c r="P9" s="2"/>
      <x:c r="Q9" s="2"/>
      <x:c r="R9" s="2"/>
    </x:row>
    <x:row r="10" ht="21" hidden="0" customHeight="1">
      <x:c r="A10" s="90"/>
      <x:c r="B10" s="90" t="str">
        <x:v>DCF: perpetuity</x:v>
      </x:c>
      <x:c r="C10" s="240" t="n">
        <x:f>'DCF'!C45</x:f>
        <x:v>195.6913444985809</x:v>
      </x:c>
      <x:c r="D10" s="240" t="n">
        <x:f>'DCF'!C45</x:f>
        <x:v>195.6913444985809</x:v>
      </x:c>
      <x:c r="E10" s="191">
        <x:f aca="0"/>
      </x:c>
      <x:c r="F10" s="90" t="str">
        <x:v>DCF perpetuity</x:v>
      </x:c>
      <x:c r="G10" s="99" t="n">
        <x:f>C10</x:f>
        <x:v>195.6913444985809</x:v>
      </x:c>
      <x:c r="H10" s="90"/>
      <x:c r="I10" s="90"/>
      <x:c r="J10" s="90"/>
      <x:c r="K10" s="2"/>
      <x:c r="L10" s="2"/>
      <x:c r="M10" s="2"/>
      <x:c r="N10" s="2"/>
      <x:c r="O10" s="2"/>
      <x:c r="P10" s="2"/>
      <x:c r="Q10" s="2"/>
      <x:c r="R10" s="2"/>
    </x:row>
    <x:row r="11" ht="21" hidden="0" customHeight="1">
      <x:c r="A11" s="90"/>
      <x:c r="B11" s="90" t="str">
        <x:v>DCF: exit multiple</x:v>
      </x:c>
      <x:c r="C11" s="246" t="n">
        <x:f>'DCF'!D45</x:f>
        <x:v>320.16065101757187</x:v>
      </x:c>
      <x:c r="D11" s="246" t="n">
        <x:f>'DCF'!D45</x:f>
        <x:v>320.16065101757187</x:v>
      </x:c>
      <x:c r="E11" s="90"/>
      <x:c r="F11" s="90" t="str">
        <x:v>DCF exit</x:v>
      </x:c>
      <x:c r="G11" s="99" t="n">
        <x:f>C11</x:f>
        <x:v>320.16065101757187</x:v>
      </x:c>
      <x:c r="H11" s="90"/>
      <x:c r="I11" s="90"/>
      <x:c r="J11" s="90"/>
      <x:c r="K11" s="2"/>
      <x:c r="L11" s="2"/>
      <x:c r="M11" s="2"/>
      <x:c r="N11" s="2"/>
      <x:c r="O11" s="2"/>
      <x:c r="P11" s="2"/>
      <x:c r="Q11" s="2"/>
      <x:c r="R11" s="2"/>
    </x:row>
    <x:row r="12" ht="21" hidden="0" customHeight="1">
      <x:c r="A12" s="90"/>
      <x:c r="B12" s="115" t="str">
        <x:v>Trading comps: selected EBITDA multiples</x:v>
      </x:c>
      <x:c r="C12" s="226" t="n">
        <x:f aca="0">'Trading Comps'!C26</x:f>
        <x:v>238.37084247818515</x:v>
      </x:c>
      <x:c r="D12" s="246" t="n">
        <x:f>'Trading Comps'!D26</x:f>
        <x:v>316.91066404620983</x:v>
      </x:c>
      <x:c r="E12" s="90"/>
      <x:c r="F12" s="90" t="str">
        <x:v>Comps midpoint</x:v>
      </x:c>
      <x:c r="G12" s="99" t="n">
        <x:f>(C12+D12)/2</x:f>
        <x:v>277.6407532621975</x:v>
      </x:c>
      <x:c r="H12" s="90"/>
      <x:c r="I12" s="90"/>
      <x:c r="J12" s="90"/>
      <x:c r="K12" s="2"/>
      <x:c r="L12" s="2"/>
      <x:c r="M12" s="2"/>
      <x:c r="N12" s="2"/>
      <x:c r="O12" s="2"/>
      <x:c r="P12" s="2"/>
      <x:c r="Q12" s="2"/>
      <x:c r="R12" s="2"/>
    </x:row>
    <x:row r="13" ht="21" hidden="0" customHeight="1">
      <x:c r="A13" s="90"/>
      <x:c r="B13" s="90"/>
      <x:c r="C13" s="90"/>
      <x:c r="D13" s="90"/>
      <x:c r="E13" s="90"/>
      <x:c r="F13" s="90" t="str">
        <x:v>Share price</x:v>
      </x:c>
      <x:c r="G13" s="99" t="n">
        <x:f>C15</x:f>
        <x:v>230.36</x:v>
      </x:c>
      <x:c r="H13" s="90"/>
      <x:c r="I13" s="90"/>
      <x:c r="J13" s="90"/>
      <x:c r="K13" s="2"/>
      <x:c r="L13" s="2"/>
      <x:c r="M13" s="2"/>
      <x:c r="N13" s="2"/>
      <x:c r="O13" s="2"/>
      <x:c r="P13" s="2"/>
      <x:c r="Q13" s="2"/>
      <x:c r="R13" s="2"/>
    </x:row>
    <x:row r="14" ht="21" hidden="0" customHeight="1">
      <x:c r="A14" s="115"/>
      <x:c r="B14" s="115"/>
      <x:c r="C14" s="115"/>
      <x:c r="D14" s="115"/>
      <x:c r="E14" s="115"/>
      <x:c r="F14" s="115"/>
      <x:c r="G14" s="115"/>
      <x:c r="H14" s="115"/>
      <x:c r="I14" s="115"/>
      <x:c r="J14" s="115"/>
      <x:c r="K14" s="13"/>
      <x:c r="L14" s="13"/>
      <x:c r="M14" s="2"/>
      <x:c r="N14" s="2"/>
      <x:c r="O14" s="2"/>
      <x:c r="P14" s="2"/>
      <x:c r="Q14" s="2"/>
      <x:c r="R14" s="2"/>
    </x:row>
    <x:row r="15" ht="21" hidden="0" customHeight="1">
      <x:c r="A15" s="90"/>
      <x:c r="B15" s="90" t="str">
        <x:v>Share-price assumption</x:v>
      </x:c>
      <x:c r="C15" s="226" t="n">
        <x:f>'Source Inputs'!$C$7</x:f>
        <x:v>230.36</x:v>
      </x:c>
      <x:c r="D15" s="118"/>
      <x:c r="E15" s="90"/>
      <x:c r="F15" s="90"/>
      <x:c r="G15" s="90"/>
      <x:c r="H15" s="90"/>
      <x:c r="I15" s="90"/>
      <x:c r="J15" s="90"/>
      <x:c r="K15" s="2"/>
      <x:c r="L15" s="2"/>
      <x:c r="M15" s="2"/>
      <x:c r="N15" s="2"/>
      <x:c r="O15" s="2"/>
      <x:c r="P15" s="2"/>
      <x:c r="Q15" s="2"/>
      <x:c r="R15" s="2"/>
    </x:row>
    <x:row r="16" ht="21" hidden="0" customHeight="1">
      <x:c r="A16" s="90"/>
      <x:c r="B16" s="90" t="str">
        <x:v>Teaching case: buyer ceiling</x:v>
      </x:c>
      <x:c r="C16" s="240" t="n">
        <x:f aca="0">'Acquisition Returns'!C40</x:f>
        <x:v>265.682195397003</x:v>
      </x:c>
      <x:c r="D16" s="136">
        <x:f aca="0"/>
      </x:c>
      <x:c r="E16" s="90"/>
      <x:c r="F16" s="90"/>
      <x:c r="G16" s="90"/>
      <x:c r="H16" s="90"/>
      <x:c r="I16" s="90"/>
      <x:c r="J16" s="90"/>
      <x:c r="K16" s="2"/>
      <x:c r="L16" s="2"/>
      <x:c r="M16" s="2"/>
      <x:c r="N16" s="2"/>
      <x:c r="O16" s="2"/>
      <x:c r="P16" s="2"/>
      <x:c r="Q16" s="2"/>
      <x:c r="R16" s="2"/>
    </x:row>
    <x:row r="17" ht="21" hidden="0" customHeight="1">
      <x:c r="A17" s="90"/>
      <x:c r="B17" s="90"/>
      <x:c r="C17" s="136">
        <x:f aca="0"/>
      </x:c>
      <x:c r="D17" s="136">
        <x:f aca="0"/>
      </x:c>
      <x:c r="E17" s="90"/>
      <x:c r="F17" s="90"/>
      <x:c r="G17" s="90"/>
      <x:c r="H17" s="90"/>
      <x:c r="I17" s="90"/>
      <x:c r="J17" s="90"/>
      <x:c r="K17" s="2"/>
      <x:c r="L17" s="2"/>
      <x:c r="M17" s="2"/>
      <x:c r="N17" s="2"/>
      <x:c r="O17" s="2"/>
      <x:c r="P17" s="2"/>
      <x:c r="Q17" s="2"/>
      <x:c r="R17" s="2"/>
    </x:row>
    <x:row r="18" ht="21" hidden="0" customHeight="1">
      <x:c r="A18" s="90"/>
      <x:c r="B18" s="90"/>
      <x:c r="C18" s="191">
        <x:f aca="0"/>
      </x:c>
      <x:c r="D18" s="191">
        <x:f aca="0"/>
      </x:c>
      <x:c r="E18" s="90"/>
      <x:c r="F18" s="90"/>
      <x:c r="G18" s="90"/>
      <x:c r="H18" s="90"/>
      <x:c r="I18" s="90"/>
      <x:c r="J18" s="90"/>
      <x:c r="K18" s="2"/>
      <x:c r="L18" s="2"/>
      <x:c r="M18" s="2"/>
      <x:c r="N18" s="2"/>
      <x:c r="O18" s="2"/>
      <x:c r="P18" s="2"/>
      <x:c r="Q18" s="2"/>
      <x:c r="R18" s="2"/>
    </x:row>
    <x:row r="19" ht="21" hidden="0" customHeight="1">
      <x:c r="A19" s="90"/>
      <x:c r="B19" s="90"/>
      <x:c r="C19" s="90"/>
      <x:c r="D19" s="90"/>
      <x:c r="E19" s="90"/>
      <x:c r="F19" s="90"/>
      <x:c r="G19" s="90"/>
      <x:c r="H19" s="90"/>
      <x:c r="I19" s="90"/>
      <x:c r="J19" s="90"/>
      <x:c r="K19" s="2"/>
      <x:c r="L19" s="2"/>
      <x:c r="M19" s="2"/>
      <x:c r="N19" s="2"/>
      <x:c r="O19" s="2"/>
      <x:c r="P19" s="2"/>
      <x:c r="Q19" s="2"/>
      <x:c r="R19" s="2"/>
    </x:row>
    <x:row r="20" ht="21" hidden="0" customHeight="1">
      <x:c r="A20" s="90"/>
      <x:c r="B20" s="90"/>
      <x:c r="C20" s="90"/>
      <x:c r="D20" s="90"/>
      <x:c r="E20" s="90"/>
      <x:c r="F20" s="90"/>
      <x:c r="G20" s="90"/>
      <x:c r="H20" s="90"/>
      <x:c r="I20" s="90"/>
      <x:c r="J20" s="90"/>
      <x:c r="K20" s="2"/>
      <x:c r="L20" s="2"/>
      <x:c r="M20" s="2"/>
      <x:c r="N20" s="2"/>
      <x:c r="O20" s="2"/>
      <x:c r="P20" s="2"/>
      <x:c r="Q20" s="2"/>
      <x:c r="R20" s="2"/>
    </x:row>
    <x:row r="21" ht="21" hidden="0" customHeight="1">
      <x:c r="A21" s="90"/>
      <x:c r="B21" s="90"/>
      <x:c r="C21" s="90"/>
      <x:c r="D21" s="90"/>
      <x:c r="E21" s="90"/>
      <x:c r="F21" s="90"/>
      <x:c r="G21" s="90"/>
      <x:c r="H21" s="90"/>
      <x:c r="I21" s="90"/>
      <x:c r="J21" s="90"/>
      <x:c r="K21" s="2"/>
      <x:c r="L21" s="2"/>
      <x:c r="M21" s="2"/>
      <x:c r="N21" s="2"/>
      <x:c r="O21" s="2"/>
      <x:c r="P21" s="2"/>
      <x:c r="Q21" s="2"/>
      <x:c r="R21" s="2"/>
    </x:row>
    <x:row r="22" ht="21" hidden="0" customHeight="1">
      <x:c r="A22" s="90"/>
      <x:c r="B22" s="90"/>
      <x:c r="C22" s="90"/>
      <x:c r="D22" s="90"/>
      <x:c r="E22" s="90"/>
      <x:c r="F22" s="90"/>
      <x:c r="G22" s="90"/>
      <x:c r="H22" s="90"/>
      <x:c r="I22" s="90"/>
      <x:c r="J22" s="90"/>
      <x:c r="K22" s="2"/>
      <x:c r="L22" s="2"/>
      <x:c r="M22" s="2"/>
      <x:c r="N22" s="2"/>
      <x:c r="O22" s="2"/>
      <x:c r="P22" s="2"/>
      <x:c r="Q22" s="2"/>
      <x:c r="R22" s="2"/>
    </x:row>
    <x:row r="23" ht="21" hidden="0" customHeight="1">
      <x:c r="A23" s="90"/>
      <x:c r="B23" s="90"/>
      <x:c r="C23" s="90"/>
      <x:c r="D23" s="90"/>
      <x:c r="E23" s="90"/>
      <x:c r="F23" s="90"/>
      <x:c r="G23" s="90"/>
      <x:c r="H23" s="90"/>
      <x:c r="I23" s="90"/>
      <x:c r="J23" s="90"/>
      <x:c r="K23" s="2"/>
      <x:c r="L23" s="2"/>
      <x:c r="M23" s="2"/>
      <x:c r="N23" s="2"/>
      <x:c r="O23" s="2"/>
      <x:c r="P23" s="2"/>
      <x:c r="Q23" s="2"/>
      <x:c r="R23" s="2"/>
    </x:row>
    <x:row r="24" ht="21" hidden="0" customHeight="1">
      <x:c r="A24" s="90"/>
      <x:c r="B24" s="90"/>
      <x:c r="C24" s="90"/>
      <x:c r="D24" s="90"/>
      <x:c r="E24" s="90"/>
      <x:c r="F24" s="90"/>
      <x:c r="G24" s="90"/>
      <x:c r="H24" s="90"/>
      <x:c r="I24" s="90"/>
      <x:c r="J24" s="90"/>
      <x:c r="K24" s="2"/>
      <x:c r="L24" s="2"/>
      <x:c r="M24" s="2"/>
      <x:c r="N24" s="2"/>
      <x:c r="O24" s="2"/>
      <x:c r="P24" s="2"/>
      <x:c r="Q24" s="2"/>
      <x:c r="R24" s="2"/>
    </x:row>
    <x:row r="25" ht="21" hidden="0" customHeight="1">
      <x:c r="A25" s="90"/>
      <x:c r="B25" s="90"/>
      <x:c r="C25" s="90"/>
      <x:c r="D25" s="90"/>
      <x:c r="E25" s="90"/>
      <x:c r="F25" s="90"/>
      <x:c r="G25" s="90"/>
      <x:c r="H25" s="90"/>
      <x:c r="I25" s="90"/>
      <x:c r="J25" s="90"/>
      <x:c r="K25" s="2"/>
      <x:c r="L25" s="2"/>
      <x:c r="M25" s="2"/>
      <x:c r="N25" s="2"/>
      <x:c r="O25" s="2"/>
      <x:c r="P25" s="2"/>
      <x:c r="Q25" s="2"/>
      <x:c r="R25" s="2"/>
    </x:row>
    <x:row r="26" ht="21" hidden="0" customHeight="1">
      <x:c r="A26" s="90"/>
      <x:c r="B26" s="90"/>
      <x:c r="C26" s="90"/>
      <x:c r="D26" s="90"/>
      <x:c r="E26" s="90"/>
      <x:c r="F26" s="90"/>
      <x:c r="G26" s="90"/>
      <x:c r="H26" s="90"/>
      <x:c r="I26" s="90"/>
      <x:c r="J26" s="90"/>
      <x:c r="K26" s="2"/>
      <x:c r="L26" s="2"/>
      <x:c r="M26" s="2"/>
      <x:c r="N26" s="2"/>
      <x:c r="O26" s="2"/>
      <x:c r="P26" s="2"/>
      <x:c r="Q26" s="2"/>
      <x:c r="R26" s="2"/>
    </x:row>
    <x:row r="27" ht="21" hidden="0" customHeight="1">
      <x:c r="A27" s="90"/>
      <x:c r="B27" s="90"/>
      <x:c r="C27" s="90"/>
      <x:c r="D27" s="90"/>
      <x:c r="E27" s="90"/>
      <x:c r="F27" s="90"/>
      <x:c r="G27" s="90"/>
      <x:c r="H27" s="90"/>
      <x:c r="I27" s="90"/>
      <x:c r="J27" s="90"/>
      <x:c r="K27" s="2"/>
      <x:c r="L27" s="2"/>
      <x:c r="M27" s="2"/>
      <x:c r="N27" s="2"/>
      <x:c r="O27" s="2"/>
      <x:c r="P27" s="2"/>
      <x:c r="Q27" s="2"/>
      <x:c r="R27" s="2"/>
    </x:row>
    <x:row r="28" ht="21" hidden="0" customHeight="1">
      <x:c r="A28" s="90"/>
      <x:c r="B28" s="90"/>
      <x:c r="C28" s="90"/>
      <x:c r="D28" s="90"/>
      <x:c r="E28" s="90"/>
      <x:c r="F28" s="90"/>
      <x:c r="G28" s="90"/>
      <x:c r="H28" s="90"/>
      <x:c r="I28" s="90"/>
      <x:c r="J28" s="90"/>
      <x:c r="K28" s="2"/>
      <x:c r="L28" s="2"/>
      <x:c r="M28" s="2"/>
      <x:c r="N28" s="2"/>
      <x:c r="O28" s="2"/>
      <x:c r="P28" s="2"/>
      <x:c r="Q28" s="2"/>
      <x:c r="R28" s="2"/>
    </x:row>
    <x:row r="29" ht="21" hidden="0" customHeight="1">
      <x:c r="A29" s="90"/>
      <x:c r="B29" s="90"/>
      <x:c r="C29" s="90"/>
      <x:c r="D29" s="90"/>
      <x:c r="E29" s="90"/>
      <x:c r="F29" s="90"/>
      <x:c r="G29" s="90"/>
      <x:c r="H29" s="90"/>
      <x:c r="I29" s="90"/>
      <x:c r="J29" s="90"/>
      <x:c r="K29" s="2"/>
      <x:c r="L29" s="2"/>
      <x:c r="M29" s="2"/>
      <x:c r="N29" s="2"/>
      <x:c r="O29" s="2"/>
      <x:c r="P29" s="2"/>
      <x:c r="Q29" s="2"/>
      <x:c r="R29" s="2"/>
    </x:row>
    <x:row r="30" ht="21" hidden="0" customHeight="1">
      <x:c r="A30" s="90"/>
      <x:c r="B30" s="90"/>
      <x:c r="C30" s="90"/>
      <x:c r="D30" s="90"/>
      <x:c r="E30" s="90"/>
      <x:c r="F30" s="90"/>
      <x:c r="G30" s="90"/>
      <x:c r="H30" s="90"/>
      <x:c r="I30" s="90"/>
      <x:c r="J30" s="90"/>
      <x:c r="K30" s="2"/>
      <x:c r="L30" s="2"/>
      <x:c r="M30" s="2"/>
      <x:c r="N30" s="2"/>
      <x:c r="O30" s="2"/>
      <x:c r="P30" s="2"/>
      <x:c r="Q30" s="2"/>
      <x:c r="R30" s="2"/>
    </x:row>
    <x:row r="31" ht="21" hidden="0" customHeight="1">
      <x:c r="A31" s="90"/>
      <x:c r="B31" s="90"/>
      <x:c r="C31" s="90"/>
      <x:c r="D31" s="90"/>
      <x:c r="E31" s="90"/>
      <x:c r="F31" s="90"/>
      <x:c r="G31" s="90"/>
      <x:c r="H31" s="90"/>
      <x:c r="I31" s="90"/>
      <x:c r="J31" s="90"/>
      <x:c r="K31" s="2"/>
      <x:c r="L31" s="2"/>
      <x:c r="M31" s="2"/>
      <x:c r="N31" s="2"/>
      <x:c r="O31" s="2"/>
      <x:c r="P31" s="2"/>
      <x:c r="Q31" s="2"/>
      <x:c r="R31" s="2"/>
    </x:row>
    <x:row r="32" ht="21" hidden="0" customHeight="1">
      <x:c r="A32" s="90"/>
      <x:c r="B32" s="90"/>
      <x:c r="C32" s="90"/>
      <x:c r="D32" s="90"/>
      <x:c r="E32" s="90"/>
      <x:c r="F32" s="90"/>
      <x:c r="G32" s="90"/>
      <x:c r="H32" s="90"/>
      <x:c r="I32" s="90"/>
      <x:c r="J32" s="90"/>
      <x:c r="K32" s="2"/>
      <x:c r="L32" s="2"/>
      <x:c r="M32" s="2"/>
      <x:c r="N32" s="2"/>
      <x:c r="O32" s="2"/>
      <x:c r="P32" s="2"/>
      <x:c r="Q32" s="2"/>
      <x:c r="R32" s="2"/>
    </x:row>
    <x:row r="33" ht="21" hidden="0" customHeight="1">
      <x:c r="A33" s="90"/>
      <x:c r="B33" s="90"/>
      <x:c r="C33" s="90"/>
      <x:c r="D33" s="90"/>
      <x:c r="E33" s="90"/>
      <x:c r="F33" s="90"/>
      <x:c r="G33" s="90"/>
      <x:c r="H33" s="90"/>
      <x:c r="I33" s="90"/>
      <x:c r="J33" s="90"/>
      <x:c r="K33" s="2"/>
      <x:c r="L33" s="2"/>
      <x:c r="M33" s="2"/>
      <x:c r="N33" s="2"/>
      <x:c r="O33" s="2"/>
      <x:c r="P33" s="2"/>
      <x:c r="Q33" s="2"/>
      <x:c r="R33" s="2"/>
    </x:row>
    <x:row r="34" ht="21" hidden="0" customHeight="1">
      <x:c r="A34" s="90"/>
      <x:c r="B34" s="90"/>
      <x:c r="C34" s="90"/>
      <x:c r="D34" s="90"/>
      <x:c r="E34" s="90"/>
      <x:c r="F34" s="90"/>
      <x:c r="G34" s="90"/>
      <x:c r="H34" s="90"/>
      <x:c r="I34" s="90"/>
      <x:c r="J34" s="90"/>
      <x:c r="K34" s="2"/>
      <x:c r="L34" s="2"/>
      <x:c r="M34" s="2"/>
      <x:c r="N34" s="2"/>
      <x:c r="O34" s="2"/>
      <x:c r="P34" s="2"/>
      <x:c r="Q34" s="2"/>
      <x:c r="R34" s="2"/>
    </x:row>
    <x:row r="35" ht="21" hidden="0" customHeight="1">
      <x:c r="A35" s="90"/>
      <x:c r="B35" s="90"/>
      <x:c r="C35" s="90"/>
      <x:c r="D35" s="90"/>
      <x:c r="E35" s="90"/>
      <x:c r="F35" s="90"/>
      <x:c r="G35" s="90"/>
      <x:c r="H35" s="90"/>
      <x:c r="I35" s="90"/>
      <x:c r="J35" s="90"/>
      <x:c r="K35" s="2"/>
      <x:c r="L35" s="2"/>
      <x:c r="M35" s="2"/>
      <x:c r="N35" s="2"/>
      <x:c r="O35" s="2"/>
      <x:c r="P35" s="2"/>
      <x:c r="Q35" s="2"/>
      <x:c r="R35" s="2"/>
    </x:row>
    <x:row r="36" ht="21" hidden="0" customHeight="1">
      <x:c r="A36" s="90"/>
      <x:c r="B36" s="253"/>
      <x:c r="C36" s="253"/>
      <x:c r="D36" s="253"/>
      <x:c r="E36" s="253"/>
      <x:c r="F36" s="90"/>
      <x:c r="G36" s="90"/>
      <x:c r="H36" s="90"/>
      <x:c r="I36" s="90"/>
      <x:c r="J36" s="90"/>
      <x:c r="K36" s="2"/>
      <x:c r="L36" s="2"/>
      <x:c r="M36" s="2"/>
      <x:c r="N36" s="2"/>
      <x:c r="O36" s="2"/>
      <x:c r="P36" s="2"/>
      <x:c r="Q36" s="2"/>
      <x:c r="R36" s="2"/>
    </x:row>
    <x:row r="37" ht="21" hidden="0" customHeight="1">
      <x:c r="A37" s="90"/>
      <x:c r="B37" s="253" t="str">
        <x:v>The key question is whether future demand turns into repeatable cash earnings after capacity, working capital and product investment. A modest forward multiple offers little protection if its earnings denominator is too ambitious.</x:v>
      </x:c>
      <x:c r="C37" s="253"/>
      <x:c r="D37" s="253"/>
      <x:c r="E37" s="253"/>
      <x:c r="F37" s="111"/>
      <x:c r="G37" s="111"/>
      <x:c r="H37" s="111"/>
      <x:c r="I37" s="111"/>
      <x:c r="J37" s="111"/>
      <x:c r="K37" s="2"/>
      <x:c r="L37" s="2"/>
      <x:c r="M37" s="2"/>
      <x:c r="N37" s="2"/>
      <x:c r="O37" s="2"/>
      <x:c r="P37" s="2"/>
      <x:c r="Q37" s="2"/>
      <x:c r="R37" s="2"/>
    </x:row>
    <x:row r="38" ht="21" hidden="0" customHeight="1">
      <x:c r="A38" s="90"/>
      <x:c r="B38" s="253"/>
      <x:c r="C38" s="253"/>
      <x:c r="D38" s="253"/>
      <x:c r="E38" s="253"/>
      <x:c r="F38" s="111"/>
      <x:c r="G38" s="111"/>
      <x:c r="H38" s="111"/>
      <x:c r="I38" s="111"/>
      <x:c r="J38" s="111"/>
      <x:c r="K38" s="2"/>
      <x:c r="L38" s="2"/>
      <x:c r="M38" s="2"/>
      <x:c r="N38" s="2"/>
      <x:c r="O38" s="2"/>
      <x:c r="P38" s="2"/>
      <x:c r="Q38" s="2"/>
      <x:c r="R38" s="2"/>
    </x:row>
    <x:row r="39" ht="21" hidden="0" customHeight="1">
      <x:c r="A39" s="90"/>
      <x:c r="B39" s="253"/>
      <x:c r="C39" s="253"/>
      <x:c r="D39" s="253"/>
      <x:c r="E39" s="253"/>
      <x:c r="F39" s="111"/>
      <x:c r="G39" s="111"/>
      <x:c r="H39" s="111"/>
      <x:c r="I39" s="111"/>
      <x:c r="J39" s="111"/>
      <x:c r="K39" s="2"/>
      <x:c r="L39" s="2"/>
      <x:c r="M39" s="2"/>
      <x:c r="N39" s="2"/>
      <x:c r="O39" s="2"/>
      <x:c r="P39" s="2"/>
      <x:c r="Q39" s="2"/>
      <x:c r="R39" s="2"/>
    </x:row>
    <x:row r="40" ht="21" hidden="0" customHeight="1">
      <x:c r="A40" s="90"/>
      <x:c r="B40" s="255"/>
      <x:c r="C40" s="255"/>
      <x:c r="D40" s="255"/>
      <x:c r="E40" s="255"/>
      <x:c r="F40" s="90"/>
      <x:c r="G40" s="90"/>
      <x:c r="H40" s="90"/>
      <x:c r="I40" s="90"/>
      <x:c r="J40" s="90"/>
      <x:c r="K40" s="2"/>
      <x:c r="L40" s="2"/>
      <x:c r="M40" s="2"/>
      <x:c r="N40" s="2"/>
      <x:c r="O40" s="2"/>
      <x:c r="P40" s="2"/>
      <x:c r="Q40" s="2"/>
      <x:c r="R40" s="2"/>
    </x:row>
    <x:row r="41" ht="21" hidden="0" customHeight="1">
      <x:c r="A41" s="90"/>
      <x:c r="B41" s="255"/>
      <x:c r="C41" s="255"/>
      <x:c r="D41" s="255"/>
      <x:c r="E41" s="255"/>
      <x:c r="F41" s="90"/>
      <x:c r="G41" s="90"/>
      <x:c r="H41" s="90"/>
      <x:c r="I41" s="90"/>
      <x:c r="J41" s="90"/>
      <x:c r="K41" s="2"/>
      <x:c r="L41" s="2"/>
      <x:c r="M41" s="2"/>
      <x:c r="N41" s="2"/>
      <x:c r="O41" s="2"/>
      <x:c r="P41" s="2"/>
      <x:c r="Q41" s="2"/>
      <x:c r="R41" s="2"/>
    </x:row>
    <x:row r="42" ht="21" hidden="0" customHeight="1">
      <x:c r="A42" s="90"/>
      <x:c r="B42" s="255" t="str">
        <x:v>Read the downside first. Slow demand and reduce margins together, then test cash commitments. Keep business value, market price and buyer affordability separate; do not average them into one target.</x:v>
      </x:c>
      <x:c r="C42" s="255"/>
      <x:c r="D42" s="255"/>
      <x:c r="E42" s="255"/>
      <x:c r="F42" s="111"/>
      <x:c r="G42" s="111"/>
      <x:c r="H42" s="111"/>
      <x:c r="I42" s="111"/>
      <x:c r="J42" s="111"/>
      <x:c r="K42" s="2"/>
      <x:c r="L42" s="2"/>
      <x:c r="M42" s="2"/>
      <x:c r="N42" s="2"/>
      <x:c r="O42" s="2"/>
      <x:c r="P42" s="2"/>
      <x:c r="Q42" s="2"/>
      <x:c r="R42" s="2"/>
    </x:row>
    <x:row r="43" ht="21" hidden="0" customHeight="1">
      <x:c r="A43" s="90"/>
      <x:c r="B43" s="255"/>
      <x:c r="C43" s="255"/>
      <x:c r="D43" s="255"/>
      <x:c r="E43" s="255"/>
      <x:c r="F43" s="111"/>
      <x:c r="G43" s="111"/>
      <x:c r="H43" s="111"/>
      <x:c r="I43" s="111"/>
      <x:c r="J43" s="111"/>
      <x:c r="K43" s="2"/>
      <x:c r="L43" s="2"/>
      <x:c r="M43" s="2"/>
      <x:c r="N43" s="2"/>
      <x:c r="O43" s="2"/>
      <x:c r="P43" s="2"/>
      <x:c r="Q43" s="2"/>
      <x:c r="R43" s="2"/>
    </x:row>
    <x:row r="44" ht="21" hidden="0" customHeight="1">
      <x:c r="A44" s="90"/>
      <x:c r="B44" s="111"/>
      <x:c r="C44" s="111"/>
      <x:c r="D44" s="111"/>
      <x:c r="E44" s="111"/>
      <x:c r="F44" s="111"/>
      <x:c r="G44" s="111"/>
      <x:c r="H44" s="111"/>
      <x:c r="I44" s="111"/>
      <x:c r="J44" s="111"/>
      <x:c r="K44" s="2"/>
      <x:c r="L44" s="2"/>
      <x:c r="M44" s="2"/>
      <x:c r="N44" s="2"/>
      <x:c r="O44" s="2"/>
      <x:c r="P44" s="2"/>
      <x:c r="Q44" s="2"/>
      <x:c r="R44" s="2"/>
    </x:row>
    <x:row r="45" ht="21" hidden="0" customHeight="1">
      <x:c r="A45" s="90"/>
      <x:c r="B45" s="90"/>
      <x:c r="C45" s="90"/>
      <x:c r="D45" s="90"/>
      <x:c r="E45" s="90"/>
      <x:c r="F45" s="90"/>
      <x:c r="G45" s="90"/>
      <x:c r="H45" s="90"/>
      <x:c r="I45" s="90"/>
      <x:c r="J45" s="90"/>
      <x:c r="K45" s="2"/>
      <x:c r="L45" s="2"/>
      <x:c r="M45" s="2"/>
      <x:c r="N45" s="2"/>
      <x:c r="O45" s="2"/>
      <x:c r="P45" s="2"/>
      <x:c r="Q45" s="2"/>
      <x:c r="R45" s="2"/>
    </x:row>
    <x:row r="46" ht="21" hidden="0" customHeight="1">
      <x:c r="A46" s="90"/>
      <x:c r="B46" s="90"/>
      <x:c r="C46" s="90"/>
      <x:c r="D46" s="90"/>
      <x:c r="E46" s="90"/>
      <x:c r="F46" s="90"/>
      <x:c r="G46" s="90"/>
      <x:c r="H46" s="90"/>
      <x:c r="I46" s="90"/>
      <x:c r="J46" s="90"/>
      <x:c r="K46" s="2"/>
      <x:c r="L46" s="2"/>
      <x:c r="M46" s="2"/>
      <x:c r="N46" s="2"/>
      <x:c r="O46" s="2"/>
      <x:c r="P46" s="2"/>
      <x:c r="Q46" s="2"/>
      <x:c r="R46" s="2"/>
    </x:row>
    <x:row r="47" ht="21" hidden="0" customHeight="1">
      <x:c r="A47" s="90"/>
      <x:c r="B47" s="90"/>
      <x:c r="C47" s="90"/>
      <x:c r="D47" s="90"/>
      <x:c r="E47" s="90"/>
      <x:c r="F47" s="90"/>
      <x:c r="G47" s="90"/>
      <x:c r="H47" s="90"/>
      <x:c r="I47" s="90"/>
      <x:c r="J47" s="90"/>
      <x:c r="K47" s="2"/>
      <x:c r="L47" s="2"/>
      <x:c r="M47" s="2"/>
      <x:c r="N47" s="2"/>
      <x:c r="O47" s="2"/>
      <x:c r="P47" s="2"/>
      <x:c r="Q47" s="2"/>
      <x:c r="R47" s="2"/>
    </x:row>
    <x:row r="48" ht="21" hidden="0" customHeight="1">
      <x:c r="A48" s="90"/>
      <x:c r="B48" s="90"/>
      <x:c r="C48" s="90"/>
      <x:c r="D48" s="90"/>
      <x:c r="E48" s="90"/>
      <x:c r="F48" s="90"/>
      <x:c r="G48" s="90"/>
      <x:c r="H48" s="90"/>
      <x:c r="I48" s="90"/>
      <x:c r="J48" s="90"/>
      <x:c r="K48" s="2"/>
      <x:c r="L48" s="2"/>
      <x:c r="M48" s="2"/>
      <x:c r="N48" s="2"/>
      <x:c r="O48" s="2"/>
      <x:c r="P48" s="2"/>
      <x:c r="Q48" s="2"/>
      <x:c r="R48" s="2"/>
    </x:row>
    <x:row r="49" ht="21" hidden="0" customHeight="1">
      <x:c r="A49" s="90"/>
      <x:c r="B49" s="90"/>
      <x:c r="C49" s="90"/>
      <x:c r="D49" s="90"/>
      <x:c r="E49" s="90"/>
      <x:c r="F49" s="90"/>
      <x:c r="G49" s="90"/>
      <x:c r="H49" s="90"/>
      <x:c r="I49" s="90"/>
      <x:c r="J49" s="90"/>
      <x:c r="K49" s="2"/>
      <x:c r="L49" s="2"/>
      <x:c r="M49" s="2"/>
      <x:c r="N49" s="2"/>
      <x:c r="O49" s="2"/>
      <x:c r="P49" s="2"/>
      <x:c r="Q49" s="2"/>
      <x:c r="R49" s="2"/>
    </x:row>
    <x:row r="50" ht="21" hidden="0" customHeight="1">
      <x:c r="A50" s="90"/>
      <x:c r="B50" s="90"/>
      <x:c r="C50" s="90"/>
      <x:c r="D50" s="90"/>
      <x:c r="E50" s="90"/>
      <x:c r="F50" s="90"/>
      <x:c r="G50" s="90"/>
      <x:c r="H50" s="90"/>
      <x:c r="I50" s="90"/>
      <x:c r="J50" s="90"/>
      <x:c r="K50" s="2"/>
      <x:c r="L50" s="2"/>
      <x:c r="M50" s="2"/>
      <x:c r="N50" s="2"/>
      <x:c r="O50" s="2"/>
      <x:c r="P50" s="2"/>
      <x:c r="Q50" s="2"/>
      <x:c r="R50" s="2"/>
    </x:row>
    <x:row r="51" ht="21" hidden="0" customHeight="1">
      <x:c r="A51" s="90"/>
      <x:c r="B51" s="90"/>
      <x:c r="C51" s="90"/>
      <x:c r="D51" s="90"/>
      <x:c r="E51" s="90"/>
      <x:c r="F51" s="90"/>
      <x:c r="G51" s="90"/>
      <x:c r="H51" s="90"/>
      <x:c r="I51" s="90"/>
      <x:c r="J51" s="90"/>
      <x:c r="K51" s="2"/>
      <x:c r="L51" s="2"/>
      <x:c r="M51" s="2"/>
      <x:c r="N51" s="2"/>
      <x:c r="O51" s="2"/>
      <x:c r="P51" s="2"/>
      <x:c r="Q51" s="2"/>
      <x:c r="R51" s="2"/>
    </x:row>
    <x:row r="52" ht="21" hidden="0" customHeight="1">
      <x:c r="A52" s="90"/>
      <x:c r="B52" s="90"/>
      <x:c r="C52" s="90"/>
      <x:c r="D52" s="90"/>
      <x:c r="E52" s="90"/>
      <x:c r="F52" s="90"/>
      <x:c r="G52" s="90"/>
      <x:c r="H52" s="90"/>
      <x:c r="I52" s="90"/>
      <x:c r="J52" s="90"/>
      <x:c r="K52" s="2"/>
      <x:c r="L52" s="2"/>
      <x:c r="M52" s="2"/>
      <x:c r="N52" s="2"/>
      <x:c r="O52" s="2"/>
      <x:c r="P52" s="2"/>
      <x:c r="Q52" s="2"/>
      <x:c r="R52" s="2"/>
    </x:row>
    <x:row r="53" ht="15" hidden="0">
      <x:c r="A53" s="2"/>
      <x:c r="B53" s="2"/>
      <x:c r="C53" s="2"/>
      <x:c r="D53" s="2"/>
      <x:c r="E53" s="2"/>
      <x:c r="F53" s="2"/>
      <x:c r="G53" s="2"/>
      <x:c r="H53" s="2"/>
      <x:c r="I53" s="2"/>
      <x:c r="J53" s="2"/>
      <x:c r="K53" s="2"/>
      <x:c r="L53" s="2"/>
      <x:c r="M53" s="2"/>
      <x:c r="N53" s="2"/>
      <x:c r="O53" s="2"/>
      <x:c r="P53" s="2"/>
      <x:c r="Q53" s="2"/>
      <x:c r="R53" s="2"/>
    </x:row>
    <x:row r="54" ht="15" hidden="0">
      <x:c r="A54" s="2"/>
      <x:c r="B54" s="2"/>
      <x:c r="C54" s="2"/>
      <x:c r="D54" s="2"/>
      <x:c r="E54" s="2"/>
      <x:c r="F54" s="2"/>
      <x:c r="G54" s="2"/>
      <x:c r="H54" s="2"/>
      <x:c r="I54" s="2"/>
      <x:c r="J54" s="2"/>
      <x:c r="K54" s="2"/>
      <x:c r="L54" s="2"/>
      <x:c r="M54" s="2"/>
      <x:c r="N54" s="2"/>
      <x:c r="O54" s="2"/>
      <x:c r="P54" s="2"/>
      <x:c r="Q54" s="2"/>
      <x:c r="R54" s="2"/>
    </x:row>
    <x:row r="55" ht="15" hidden="0">
      <x:c r="A55" s="2"/>
      <x:c r="B55" s="2"/>
      <x:c r="C55" s="2"/>
      <x:c r="D55" s="2"/>
      <x:c r="E55" s="2"/>
      <x:c r="F55" s="2"/>
      <x:c r="G55" s="2"/>
      <x:c r="H55" s="2"/>
      <x:c r="I55" s="2"/>
      <x:c r="J55" s="2"/>
      <x:c r="K55" s="2"/>
      <x:c r="L55" s="2"/>
      <x:c r="M55" s="2"/>
      <x:c r="N55" s="2"/>
      <x:c r="O55" s="2"/>
      <x:c r="P55" s="2"/>
      <x:c r="Q55" s="2"/>
      <x:c r="R55" s="2"/>
    </x:row>
    <x:row r="56" ht="15" hidden="0">
      <x:c r="A56" s="2"/>
      <x:c r="B56" s="2"/>
      <x:c r="C56" s="2"/>
      <x:c r="D56" s="2"/>
      <x:c r="E56" s="2"/>
      <x:c r="F56" s="2"/>
      <x:c r="G56" s="2"/>
      <x:c r="H56" s="2"/>
      <x:c r="I56" s="2"/>
      <x:c r="J56" s="2"/>
      <x:c r="K56" s="2"/>
      <x:c r="L56" s="2"/>
      <x:c r="M56" s="2"/>
      <x:c r="N56" s="2"/>
      <x:c r="O56" s="2"/>
      <x:c r="P56" s="2"/>
      <x:c r="Q56" s="2"/>
      <x:c r="R56" s="2"/>
    </x:row>
    <x:row r="57" ht="15" hidden="0">
      <x:c r="A57" s="2"/>
      <x:c r="B57" s="2"/>
      <x:c r="C57" s="2"/>
      <x:c r="D57" s="2"/>
      <x:c r="E57" s="2"/>
      <x:c r="F57" s="2"/>
      <x:c r="G57" s="2"/>
      <x:c r="H57" s="2"/>
      <x:c r="I57" s="2"/>
      <x:c r="J57" s="2"/>
      <x:c r="K57" s="2"/>
      <x:c r="L57" s="2"/>
      <x:c r="M57" s="2"/>
      <x:c r="N57" s="2"/>
      <x:c r="O57" s="2"/>
      <x:c r="P57" s="2"/>
      <x:c r="Q57" s="2"/>
      <x:c r="R57" s="2"/>
    </x:row>
    <x:row r="58" ht="15" hidden="0">
      <x:c r="A58" s="2"/>
      <x:c r="B58" s="2"/>
      <x:c r="C58" s="2"/>
      <x:c r="D58" s="2"/>
      <x:c r="E58" s="2"/>
      <x:c r="F58" s="2"/>
      <x:c r="G58" s="2"/>
      <x:c r="H58" s="2"/>
      <x:c r="I58" s="2"/>
      <x:c r="J58" s="2"/>
      <x:c r="K58" s="2"/>
      <x:c r="L58" s="2"/>
      <x:c r="M58" s="2"/>
      <x:c r="N58" s="2"/>
      <x:c r="O58" s="2"/>
      <x:c r="P58" s="2"/>
      <x:c r="Q58" s="2"/>
      <x:c r="R58" s="2"/>
    </x:row>
    <x:row r="59" ht="15" hidden="0">
      <x:c r="A59" s="2"/>
      <x:c r="B59" s="2"/>
      <x:c r="C59" s="2"/>
      <x:c r="D59" s="2"/>
      <x:c r="E59" s="2"/>
      <x:c r="F59" s="2"/>
      <x:c r="G59" s="2"/>
      <x:c r="H59" s="2"/>
      <x:c r="I59" s="2"/>
      <x:c r="J59" s="2"/>
      <x:c r="K59" s="2"/>
      <x:c r="L59" s="2"/>
      <x:c r="M59" s="2"/>
      <x:c r="N59" s="2"/>
      <x:c r="O59" s="2"/>
      <x:c r="P59" s="2"/>
      <x:c r="Q59" s="2"/>
      <x:c r="R59" s="2"/>
    </x:row>
    <x:row r="60" ht="15" hidden="0">
      <x:c r="A60" s="2"/>
      <x:c r="B60" s="2"/>
      <x:c r="C60" s="2"/>
      <x:c r="D60" s="2"/>
      <x:c r="E60" s="2"/>
      <x:c r="F60" s="2"/>
      <x:c r="G60" s="2"/>
      <x:c r="H60" s="2"/>
      <x:c r="I60" s="2"/>
      <x:c r="J60" s="2"/>
      <x:c r="K60" s="2"/>
      <x:c r="L60" s="2"/>
      <x:c r="M60" s="2"/>
      <x:c r="N60" s="2"/>
      <x:c r="O60" s="2"/>
      <x:c r="P60" s="2"/>
      <x:c r="Q60" s="2"/>
      <x:c r="R60" s="2"/>
    </x:row>
    <x:row r="61" ht="15" hidden="0">
      <x:c r="A61" s="2"/>
      <x:c r="B61" s="2"/>
      <x:c r="C61" s="2"/>
      <x:c r="D61" s="2"/>
      <x:c r="E61" s="2"/>
      <x:c r="F61" s="2"/>
      <x:c r="G61" s="2"/>
      <x:c r="H61" s="2"/>
      <x:c r="I61" s="2"/>
      <x:c r="J61" s="2"/>
      <x:c r="K61" s="2"/>
      <x:c r="L61" s="2"/>
      <x:c r="M61" s="2"/>
      <x:c r="N61" s="2"/>
      <x:c r="O61" s="2"/>
      <x:c r="P61" s="2"/>
      <x:c r="Q61" s="2"/>
      <x:c r="R61" s="2"/>
    </x:row>
    <x:row r="62" ht="15" hidden="0">
      <x:c r="A62" s="2"/>
      <x:c r="B62" s="2"/>
      <x:c r="C62" s="2"/>
      <x:c r="D62" s="2"/>
      <x:c r="E62" s="2"/>
      <x:c r="F62" s="2"/>
      <x:c r="G62" s="2"/>
      <x:c r="H62" s="2"/>
      <x:c r="I62" s="2"/>
      <x:c r="J62" s="2"/>
      <x:c r="K62" s="2"/>
      <x:c r="L62" s="2"/>
      <x:c r="M62" s="2"/>
      <x:c r="N62" s="2"/>
      <x:c r="O62" s="2"/>
      <x:c r="P62" s="2"/>
      <x:c r="Q62" s="2"/>
      <x:c r="R62" s="2"/>
    </x:row>
    <x:row r="63" ht="15" hidden="0">
      <x:c r="A63" s="2"/>
      <x:c r="B63" s="2"/>
      <x:c r="C63" s="2"/>
      <x:c r="D63" s="2"/>
      <x:c r="E63" s="2"/>
      <x:c r="F63" s="2"/>
      <x:c r="G63" s="2"/>
      <x:c r="H63" s="2"/>
      <x:c r="I63" s="2"/>
      <x:c r="J63" s="2"/>
      <x:c r="K63" s="2"/>
      <x:c r="L63" s="2"/>
      <x:c r="M63" s="2"/>
      <x:c r="N63" s="2"/>
      <x:c r="O63" s="2"/>
      <x:c r="P63" s="2"/>
      <x:c r="Q63" s="2"/>
      <x:c r="R63" s="2"/>
    </x:row>
    <x:row r="64" ht="15" hidden="0">
      <x:c r="A64" s="2"/>
      <x:c r="B64" s="2"/>
      <x:c r="C64" s="2"/>
      <x:c r="D64" s="2"/>
      <x:c r="E64" s="2"/>
      <x:c r="F64" s="2"/>
      <x:c r="G64" s="2"/>
      <x:c r="H64" s="2"/>
      <x:c r="I64" s="2"/>
      <x:c r="J64" s="2"/>
      <x:c r="K64" s="2"/>
      <x:c r="L64" s="2"/>
      <x:c r="M64" s="2"/>
      <x:c r="N64" s="2"/>
      <x:c r="O64" s="2"/>
      <x:c r="P64" s="2"/>
      <x:c r="Q64" s="2"/>
      <x:c r="R64" s="2"/>
    </x:row>
    <x:row r="65" ht="15" hidden="0">
      <x:c r="A65" s="2"/>
      <x:c r="B65" s="2"/>
      <x:c r="C65" s="2"/>
      <x:c r="D65" s="2"/>
      <x:c r="E65" s="2"/>
      <x:c r="F65" s="2"/>
      <x:c r="G65" s="2"/>
      <x:c r="H65" s="2"/>
      <x:c r="I65" s="2"/>
      <x:c r="J65" s="2"/>
      <x:c r="K65" s="2"/>
      <x:c r="L65" s="2"/>
      <x:c r="M65" s="2"/>
      <x:c r="N65" s="2"/>
      <x:c r="O65" s="2"/>
      <x:c r="P65" s="2"/>
      <x:c r="Q65" s="2"/>
      <x:c r="R65" s="2"/>
    </x:row>
    <x:row r="66" ht="15" hidden="0">
      <x:c r="A66" s="2"/>
      <x:c r="B66" s="2"/>
      <x:c r="C66" s="2"/>
      <x:c r="D66" s="2"/>
      <x:c r="E66" s="2"/>
      <x:c r="F66" s="2"/>
      <x:c r="G66" s="2"/>
      <x:c r="H66" s="2"/>
      <x:c r="I66" s="2"/>
      <x:c r="J66" s="2"/>
      <x:c r="K66" s="2"/>
      <x:c r="L66" s="2"/>
      <x:c r="M66" s="2"/>
      <x:c r="N66" s="2"/>
      <x:c r="O66" s="2"/>
      <x:c r="P66" s="2"/>
      <x:c r="Q66" s="2"/>
      <x:c r="R66" s="2"/>
    </x:row>
    <x:row r="67" ht="15" hidden="0">
      <x:c r="A67" s="2"/>
      <x:c r="B67" s="2"/>
      <x:c r="C67" s="2"/>
      <x:c r="D67" s="2"/>
      <x:c r="E67" s="2"/>
      <x:c r="F67" s="2"/>
      <x:c r="G67" s="2"/>
      <x:c r="H67" s="2"/>
      <x:c r="I67" s="2"/>
      <x:c r="J67" s="2"/>
      <x:c r="K67" s="2"/>
      <x:c r="L67" s="2"/>
      <x:c r="M67" s="2"/>
      <x:c r="N67" s="2"/>
      <x:c r="O67" s="2"/>
      <x:c r="P67" s="2"/>
      <x:c r="Q67" s="2"/>
      <x:c r="R67" s="2"/>
    </x:row>
    <x:row r="68" ht="15" hidden="0">
      <x:c r="A68" s="2"/>
      <x:c r="B68" s="2"/>
      <x:c r="C68" s="2"/>
      <x:c r="D68" s="2"/>
      <x:c r="E68" s="2"/>
      <x:c r="F68" s="2"/>
      <x:c r="G68" s="2"/>
      <x:c r="H68" s="2"/>
      <x:c r="I68" s="2"/>
      <x:c r="J68" s="2"/>
      <x:c r="K68" s="2"/>
      <x:c r="L68" s="2"/>
      <x:c r="M68" s="2"/>
      <x:c r="N68" s="2"/>
      <x:c r="O68" s="2"/>
      <x:c r="P68" s="2"/>
      <x:c r="Q68" s="2"/>
      <x:c r="R68" s="2"/>
    </x:row>
    <x:row r="69" ht="15" hidden="0">
      <x:c r="A69" s="2"/>
      <x:c r="B69" s="2"/>
      <x:c r="C69" s="2"/>
      <x:c r="D69" s="2"/>
      <x:c r="E69" s="2"/>
      <x:c r="F69" s="2"/>
      <x:c r="G69" s="2"/>
      <x:c r="H69" s="2"/>
      <x:c r="I69" s="2"/>
      <x:c r="J69" s="2"/>
      <x:c r="K69" s="2"/>
      <x:c r="L69" s="2"/>
      <x:c r="M69" s="2"/>
      <x:c r="N69" s="2"/>
      <x:c r="O69" s="2"/>
      <x:c r="P69" s="2"/>
      <x:c r="Q69" s="2"/>
      <x:c r="R69" s="2"/>
    </x:row>
    <x:row r="70" ht="15" hidden="0">
      <x:c r="A70" s="2"/>
      <x:c r="B70" s="2"/>
      <x:c r="C70" s="2"/>
      <x:c r="D70" s="2"/>
      <x:c r="E70" s="2"/>
      <x:c r="F70" s="2"/>
      <x:c r="G70" s="2"/>
      <x:c r="H70" s="2"/>
      <x:c r="I70" s="2"/>
      <x:c r="J70" s="2"/>
      <x:c r="K70" s="2"/>
      <x:c r="L70" s="2"/>
      <x:c r="M70" s="2"/>
      <x:c r="N70" s="2"/>
      <x:c r="O70" s="2"/>
      <x:c r="P70" s="2"/>
      <x:c r="Q70" s="2"/>
      <x:c r="R70" s="2"/>
    </x:row>
    <x:row r="71" ht="15" hidden="0">
      <x:c r="A71" s="2"/>
      <x:c r="B71" s="2"/>
      <x:c r="C71" s="2"/>
      <x:c r="D71" s="2"/>
      <x:c r="E71" s="2"/>
      <x:c r="F71" s="2"/>
      <x:c r="G71" s="2"/>
      <x:c r="H71" s="2"/>
      <x:c r="I71" s="2"/>
      <x:c r="J71" s="2"/>
      <x:c r="K71" s="2"/>
      <x:c r="L71" s="2"/>
      <x:c r="M71" s="2"/>
      <x:c r="N71" s="2"/>
      <x:c r="O71" s="2"/>
      <x:c r="P71" s="2"/>
      <x:c r="Q71" s="2"/>
      <x:c r="R71" s="2"/>
    </x:row>
    <x:row r="72" ht="15" hidden="0">
      <x:c r="A72" s="2"/>
      <x:c r="B72" s="2"/>
      <x:c r="C72" s="2"/>
      <x:c r="D72" s="2"/>
      <x:c r="E72" s="2"/>
      <x:c r="F72" s="2"/>
      <x:c r="G72" s="2"/>
      <x:c r="H72" s="2"/>
      <x:c r="I72" s="2"/>
      <x:c r="J72" s="2"/>
      <x:c r="K72" s="2"/>
      <x:c r="L72" s="2"/>
      <x:c r="M72" s="2"/>
      <x:c r="N72" s="2"/>
      <x:c r="O72" s="2"/>
      <x:c r="P72" s="2"/>
      <x:c r="Q72" s="2"/>
      <x:c r="R72" s="2"/>
    </x:row>
    <x:row r="73" ht="15" hidden="0">
      <x:c r="A73" s="2"/>
      <x:c r="B73" s="2"/>
      <x:c r="C73" s="2"/>
      <x:c r="D73" s="2"/>
      <x:c r="E73" s="2"/>
      <x:c r="F73" s="2"/>
      <x:c r="G73" s="2"/>
      <x:c r="H73" s="2"/>
      <x:c r="I73" s="2"/>
      <x:c r="J73" s="2"/>
      <x:c r="K73" s="2"/>
      <x:c r="L73" s="2"/>
      <x:c r="M73" s="2"/>
      <x:c r="N73" s="2"/>
      <x:c r="O73" s="2"/>
      <x:c r="P73" s="2"/>
      <x:c r="Q73" s="2"/>
      <x:c r="R73" s="2"/>
    </x:row>
    <x:row r="74" ht="15" hidden="0">
      <x:c r="A74" s="2"/>
      <x:c r="B74" s="2"/>
      <x:c r="C74" s="2"/>
      <x:c r="D74" s="2"/>
      <x:c r="E74" s="2"/>
      <x:c r="F74" s="2"/>
      <x:c r="G74" s="2"/>
      <x:c r="H74" s="2"/>
      <x:c r="I74" s="2"/>
      <x:c r="J74" s="2"/>
      <x:c r="K74" s="2"/>
      <x:c r="L74" s="2"/>
      <x:c r="M74" s="2"/>
      <x:c r="N74" s="2"/>
      <x:c r="O74" s="2"/>
      <x:c r="P74" s="2"/>
      <x:c r="Q74" s="2"/>
      <x:c r="R74" s="2"/>
    </x:row>
    <x:row r="75" ht="15" hidden="0">
      <x:c r="A75" s="2"/>
      <x:c r="B75" s="2"/>
      <x:c r="C75" s="2"/>
      <x:c r="D75" s="2"/>
      <x:c r="E75" s="2"/>
      <x:c r="F75" s="2"/>
      <x:c r="G75" s="2"/>
      <x:c r="H75" s="2"/>
      <x:c r="I75" s="2"/>
      <x:c r="J75" s="2"/>
      <x:c r="K75" s="2"/>
      <x:c r="L75" s="2"/>
      <x:c r="M75" s="2"/>
      <x:c r="N75" s="2"/>
      <x:c r="O75" s="2"/>
      <x:c r="P75" s="2"/>
      <x:c r="Q75" s="2"/>
      <x:c r="R75" s="2"/>
    </x:row>
    <x:row r="76" ht="15" hidden="0">
      <x:c r="A76" s="2"/>
      <x:c r="B76" s="2"/>
      <x:c r="C76" s="2"/>
      <x:c r="D76" s="2"/>
      <x:c r="E76" s="2"/>
      <x:c r="F76" s="2"/>
      <x:c r="G76" s="2"/>
      <x:c r="H76" s="2"/>
      <x:c r="I76" s="2"/>
      <x:c r="J76" s="2"/>
      <x:c r="K76" s="2"/>
      <x:c r="L76" s="2"/>
      <x:c r="M76" s="2"/>
      <x:c r="N76" s="2"/>
      <x:c r="O76" s="2"/>
      <x:c r="P76" s="2"/>
      <x:c r="Q76" s="2"/>
      <x:c r="R76" s="2"/>
    </x:row>
    <x:row r="77" ht="15" hidden="0">
      <x:c r="A77" s="2"/>
      <x:c r="B77" s="2"/>
      <x:c r="C77" s="2"/>
      <x:c r="D77" s="2"/>
      <x:c r="E77" s="2"/>
      <x:c r="F77" s="2"/>
      <x:c r="G77" s="2"/>
      <x:c r="H77" s="2"/>
      <x:c r="I77" s="2"/>
      <x:c r="J77" s="2"/>
      <x:c r="K77" s="2"/>
      <x:c r="L77" s="2"/>
      <x:c r="M77" s="2"/>
      <x:c r="N77" s="2"/>
      <x:c r="O77" s="2"/>
      <x:c r="P77" s="2"/>
      <x:c r="Q77" s="2"/>
      <x:c r="R77" s="2"/>
    </x:row>
    <x:row r="78" ht="15" hidden="0">
      <x:c r="A78" s="2"/>
      <x:c r="B78" s="2"/>
      <x:c r="C78" s="2"/>
      <x:c r="D78" s="2"/>
      <x:c r="E78" s="2"/>
      <x:c r="F78" s="2"/>
      <x:c r="G78" s="2"/>
      <x:c r="H78" s="2"/>
      <x:c r="I78" s="2"/>
      <x:c r="J78" s="2"/>
      <x:c r="K78" s="2"/>
      <x:c r="L78" s="2"/>
      <x:c r="M78" s="2"/>
      <x:c r="N78" s="2"/>
      <x:c r="O78" s="2"/>
      <x:c r="P78" s="2"/>
      <x:c r="Q78" s="2"/>
      <x:c r="R78" s="2"/>
    </x:row>
    <x:row r="79" ht="15" hidden="0">
      <x:c r="A79" s="2"/>
      <x:c r="B79" s="2"/>
      <x:c r="C79" s="2"/>
      <x:c r="D79" s="2"/>
      <x:c r="E79" s="2"/>
      <x:c r="F79" s="2"/>
      <x:c r="G79" s="2"/>
      <x:c r="H79" s="2"/>
      <x:c r="I79" s="2"/>
      <x:c r="J79" s="2"/>
      <x:c r="K79" s="2"/>
      <x:c r="L79" s="2"/>
      <x:c r="M79" s="2"/>
      <x:c r="N79" s="2"/>
      <x:c r="O79" s="2"/>
      <x:c r="P79" s="2"/>
      <x:c r="Q79" s="2"/>
      <x:c r="R79" s="2"/>
    </x:row>
    <x:row r="80" ht="15" hidden="0">
      <x:c r="A80" s="2"/>
      <x:c r="B80" s="2"/>
      <x:c r="C80" s="2"/>
      <x:c r="D80" s="2"/>
      <x:c r="E80" s="2"/>
      <x:c r="F80" s="2"/>
      <x:c r="G80" s="2"/>
      <x:c r="H80" s="2"/>
      <x:c r="I80" s="2"/>
      <x:c r="J80" s="2"/>
      <x:c r="K80" s="2"/>
      <x:c r="L80" s="2"/>
      <x:c r="M80" s="2"/>
      <x:c r="N80" s="2"/>
      <x:c r="O80" s="2"/>
      <x:c r="P80" s="2"/>
      <x:c r="Q80" s="2"/>
      <x:c r="R80" s="2"/>
    </x:row>
  </x:sheetData>
  <x:mergeCells>
    <x:mergeCell ref="A1:J1"/>
    <x:mergeCell ref="A2:J3"/>
    <x:mergeCell ref="B37:J39"/>
    <x:mergeCell ref="B42:J44"/>
  </x:mergeCells>
  <x:pageMargins left="0.7" right="0.7" top="0.75" bottom="0.75" header="0.3" footer="0.3"/>
  <x:drawing xmlns:r="http://schemas.openxmlformats.org/officeDocument/2006/relationships" r:id="R7727f4cab33846af"/>
</x:worksheet>
</file>

<file path=xl/worksheets/sheet3.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6" width="13" hidden="0" customWidth="1"/>
    <x:col min="8" max="8" width="12" hidden="0" customWidth="1"/>
    <x:col min="3" max="3" width="17" hidden="0" customWidth="1"/>
    <x:col min="4" max="4" width="17" hidden="0" customWidth="1"/>
    <x:col min="5" max="5" width="17" hidden="0" customWidth="1"/>
    <x:col min="6" max="6" width="17" hidden="0" customWidth="1"/>
    <x:col min="7" max="7" width="17" hidden="0" customWidth="1"/>
    <x:col min="9" max="9" width="12" hidden="0" customWidth="1"/>
    <x:col min="10" max="10" width="12" hidden="0" customWidth="1"/>
  </x:cols>
  <x:sheetData>
    <x:row r="1" ht="32" hidden="0" customHeight="1">
      <x:c r="A1" s="142" t="str">
        <x:v>ASSUMPTIONS | TEST THE BUSINESS</x:v>
      </x:c>
      <x:c r="B1" s="142"/>
      <x:c r="C1" s="142"/>
      <x:c r="D1" s="142"/>
      <x:c r="E1" s="142"/>
      <x:c r="F1" s="142"/>
      <x:c r="G1" s="142"/>
      <x:c r="H1" s="142"/>
      <x:c r="I1" s="92"/>
      <x:c r="J1" s="92"/>
    </x:row>
    <x:row r="2" ht="21" hidden="0" customHeight="1">
      <x:c r="A2" s="144" t="str">
        <x:v>Blue cells are editable. Supplied vendor forecasts are planning assumptions; scenarios change future periods only.</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90"/>
      <x:c r="J4" s="90"/>
    </x:row>
    <x:row r="5" ht="21" hidden="0" customHeight="1">
      <x:c r="A5" s="90"/>
      <x:c r="B5" s="115" t="str">
        <x:v>Scenario: 1 Base / 2 Upside / 3 Downside</x:v>
      </x:c>
      <x:c r="C5" s="145" t="n">
        <x:v>1</x:v>
      </x:c>
      <x:c r="D5" s="90"/>
      <x:c r="E5" s="90"/>
      <x:c r="F5" s="90"/>
      <x:c r="G5" s="90"/>
      <x:c r="H5" s="90"/>
      <x:c r="I5" s="90"/>
      <x:c r="J5" s="90"/>
    </x:row>
    <x:row r="6" ht="21" hidden="0" customHeight="1">
      <x:c r="A6" s="90"/>
      <x:c r="B6" s="90" t="str">
        <x:v>Active scenario</x:v>
      </x:c>
      <x:c r="C6" s="118" t="str">
        <x:f aca="0">CHOOSE(C5,"BASE","UPSIDE","DOWNSIDE")</x:f>
        <x:v>BASE</x:v>
      </x:c>
      <x:c r="D6" s="90"/>
      <x:c r="E6" s="90"/>
      <x:c r="F6" s="90"/>
      <x:c r="G6" s="90"/>
      <x:c r="H6" s="90"/>
      <x:c r="I6" s="90"/>
      <x:c r="J6" s="90"/>
    </x:row>
    <x:row r="7" ht="21" hidden="0" customHeight="1">
      <x:c r="A7" s="90"/>
      <x:c r="B7" s="90"/>
      <x:c r="C7" s="90"/>
      <x:c r="D7" s="90"/>
      <x:c r="E7" s="90"/>
      <x:c r="F7" s="90"/>
      <x:c r="G7" s="90"/>
      <x:c r="H7" s="90"/>
      <x:c r="I7" s="90"/>
      <x:c r="J7" s="90"/>
    </x:row>
    <x:row r="8" ht="21" hidden="0" customHeight="1">
      <x:c r="A8" s="115"/>
      <x:c r="B8" s="115"/>
      <x:c r="C8" s="115" t="str">
        <x:v>Base</x:v>
      </x:c>
      <x:c r="D8" s="115" t="str">
        <x:v>Upside</x:v>
      </x:c>
      <x:c r="E8" s="115" t="str">
        <x:v>Downside</x:v>
      </x:c>
      <x:c r="F8" s="115" t="str">
        <x:v>Active</x:v>
      </x:c>
      <x:c r="G8" s="115"/>
      <x:c r="H8" s="115"/>
      <x:c r="I8" s="90"/>
      <x:c r="J8" s="90"/>
    </x:row>
    <x:row r="9" ht="21" hidden="0" customHeight="1">
      <x:c r="A9" s="90"/>
      <x:c r="B9" s="90"/>
      <x:c r="C9" s="118"/>
      <x:c r="D9" s="118"/>
      <x:c r="E9" s="118"/>
      <x:c r="F9" s="118"/>
      <x:c r="G9" s="90"/>
      <x:c r="H9" s="90"/>
      <x:c r="I9" s="90"/>
      <x:c r="J9" s="90"/>
    </x:row>
    <x:row r="10" ht="21" hidden="0" customHeight="1">
      <x:c r="A10" s="90"/>
      <x:c r="B10" s="90" t="str">
        <x:v>Future revenue / supplied forecast</x:v>
      </x:c>
      <x:c r="C10" s="148" t="n">
        <x:v>1</x:v>
      </x:c>
      <x:c r="D10" s="148" t="n">
        <x:v>1.15</x:v>
      </x:c>
      <x:c r="E10" s="148" t="n">
        <x:v>0.7</x:v>
      </x:c>
      <x:c r="F10" s="149" t="n">
        <x:f aca="0">CHOOSE($C$5,C10,D10,E10)</x:f>
        <x:v>1</x:v>
      </x:c>
      <x:c r="G10" s="90"/>
      <x:c r="H10" s="132"/>
      <x:c r="I10" s="90"/>
      <x:c r="J10" s="90"/>
    </x:row>
    <x:row r="11" ht="21" hidden="0" customHeight="1">
      <x:c r="A11" s="90"/>
      <x:c r="B11" s="90" t="str">
        <x:v>Operating margin before SBC</x:v>
      </x:c>
      <x:c r="C11" s="152" t="n">
        <x:v>0.69</x:v>
      </x:c>
      <x:c r="D11" s="152" t="n">
        <x:v>0.708</x:v>
      </x:c>
      <x:c r="E11" s="152" t="n">
        <x:v>0.633</x:v>
      </x:c>
      <x:c r="F11" s="153" t="n">
        <x:f aca="0">CHOOSE($C$5,C11,D11,E11)</x:f>
        <x:v>0.69</x:v>
      </x:c>
      <x:c r="G11" s="90"/>
      <x:c r="H11" s="132"/>
      <x:c r="I11" s="90"/>
      <x:c r="J11" s="90"/>
    </x:row>
    <x:row r="12" ht="21" hidden="0" customHeight="1">
      <x:c r="A12" s="90"/>
      <x:c r="B12" s="90" t="str">
        <x:v>Normalized tax rate</x:v>
      </x:c>
      <x:c r="C12" s="152" t="n">
        <x:v>0.165</x:v>
      </x:c>
      <x:c r="D12" s="152" t="n">
        <x:v>0.16</x:v>
      </x:c>
      <x:c r="E12" s="152" t="n">
        <x:v>0.18</x:v>
      </x:c>
      <x:c r="F12" s="153" t="n">
        <x:f aca="0">CHOOSE($C$5,C12,D12,E12)</x:f>
        <x:v>0.165</x:v>
      </x:c>
      <x:c r="G12" s="90"/>
      <x:c r="H12" s="132"/>
      <x:c r="I12" s="90"/>
      <x:c r="J12" s="90"/>
    </x:row>
    <x:row r="13" ht="21" hidden="0" customHeight="1">
      <x:c r="A13" s="90"/>
      <x:c r="B13" s="90" t="str">
        <x:v>SBC / revenue</x:v>
      </x:c>
      <x:c r="C13" s="152" t="n">
        <x:v>0.03</x:v>
      </x:c>
      <x:c r="D13" s="152" t="n">
        <x:v>0.028</x:v>
      </x:c>
      <x:c r="E13" s="152" t="n">
        <x:v>0.033</x:v>
      </x:c>
      <x:c r="F13" s="153" t="n">
        <x:f aca="0">CHOOSE($C$5,C13,D13,E13)</x:f>
        <x:v>0.03</x:v>
      </x:c>
      <x:c r="G13" s="90"/>
      <x:c r="H13" s="132"/>
      <x:c r="I13" s="90"/>
      <x:c r="J13" s="90"/>
    </x:row>
    <x:row r="14" ht="21" hidden="0" customHeight="1">
      <x:c r="A14" s="90"/>
      <x:c r="B14" s="90" t="str">
        <x:v>Operating NWC / annual revenue</x:v>
      </x:c>
      <x:c r="C14" s="152" t="n">
        <x:v>0.16</x:v>
      </x:c>
      <x:c r="D14" s="152" t="n">
        <x:v>0.15</x:v>
      </x:c>
      <x:c r="E14" s="152" t="n">
        <x:v>0.18</x:v>
      </x:c>
      <x:c r="F14" s="153" t="n">
        <x:f aca="0">CHOOSE($C$5,C14,D14,E14)</x:f>
        <x:v>0.16</x:v>
      </x:c>
      <x:c r="G14" s="90"/>
      <x:c r="H14" s="132"/>
      <x:c r="I14" s="90"/>
      <x:c r="J14" s="90"/>
    </x:row>
    <x:row r="15" ht="21" hidden="0" customHeight="1">
      <x:c r="A15" s="90"/>
      <x:c r="B15" s="90" t="str">
        <x:v>Annual repurchase budget</x:v>
      </x:c>
      <x:c r="C15" s="148" t="n">
        <x:v>70000</x:v>
      </x:c>
      <x:c r="D15" s="148" t="n">
        <x:v>90000</x:v>
      </x:c>
      <x:c r="E15" s="148" t="n">
        <x:v>40000</x:v>
      </x:c>
      <x:c r="F15" s="149" t="n">
        <x:f aca="0">CHOOSE($C$5,C15,D15,E15)</x:f>
        <x:v>70000</x:v>
      </x:c>
      <x:c r="G15" s="90"/>
      <x:c r="H15" s="132"/>
      <x:c r="I15" s="90"/>
      <x:c r="J15" s="90"/>
    </x:row>
    <x:row r="16" ht="21" hidden="0" customHeight="1">
      <x:c r="A16" s="90"/>
      <x:c r="B16" s="90" t="str">
        <x:v>Terminal revenue growth</x:v>
      </x:c>
      <x:c r="C16" s="152" t="n">
        <x:v>0.035</x:v>
      </x:c>
      <x:c r="D16" s="152" t="n">
        <x:v>0.04</x:v>
      </x:c>
      <x:c r="E16" s="152" t="n">
        <x:v>0.025</x:v>
      </x:c>
      <x:c r="F16" s="153" t="n">
        <x:f aca="0">CHOOSE($C$5,C16,D16,E16)</x:f>
        <x:v>0.035</x:v>
      </x:c>
      <x:c r="G16" s="90"/>
      <x:c r="H16" s="132"/>
      <x:c r="I16" s="90"/>
      <x:c r="J16" s="90"/>
    </x:row>
    <x:row r="17" ht="21" hidden="0" customHeight="1">
      <x:c r="A17" s="90"/>
      <x:c r="B17" s="90" t="str">
        <x:v>Terminal EV / EBITDA</x:v>
      </x:c>
      <x:c r="C17" s="156" t="n">
        <x:v>15</x:v>
      </x:c>
      <x:c r="D17" s="156" t="n">
        <x:v>18</x:v>
      </x:c>
      <x:c r="E17" s="156" t="n">
        <x:v>11</x:v>
      </x:c>
      <x:c r="F17" s="157" t="n">
        <x:f aca="0">CHOOSE($C$5,C17,D17,E17)</x:f>
        <x:v>15</x:v>
      </x:c>
      <x:c r="G17" s="90"/>
      <x:c r="H17" s="132"/>
      <x:c r="I17" s="90"/>
      <x:c r="J17" s="90"/>
    </x:row>
    <x:row r="18" ht="21" hidden="0" customHeight="1">
      <x:c r="A18" s="90"/>
      <x:c r="B18" s="90" t="str">
        <x:v>Terminal operating margin before SBC</x:v>
      </x:c>
      <x:c r="C18" s="107" t="n">
        <x:v>0.6</x:v>
      </x:c>
      <x:c r="D18" s="107" t="n">
        <x:v>0.65</x:v>
      </x:c>
      <x:c r="E18" s="107" t="n">
        <x:v>0.53</x:v>
      </x:c>
      <x:c r="F18" s="105" t="n">
        <x:f>CHOOSE($C$5,C18,D18,E18)</x:f>
        <x:v>0.6</x:v>
      </x:c>
      <x:c r="G18" s="90"/>
      <x:c r="H18" s="90"/>
      <x:c r="I18" s="90"/>
      <x:c r="J18" s="90"/>
    </x:row>
    <x:row r="19" ht="21" hidden="0" customHeight="1">
      <x:c r="A19" s="115"/>
      <x:c r="B19" s="115" t="str">
        <x:v>Capital expenditure scale</x:v>
      </x:c>
      <x:c r="C19" s="160" t="n">
        <x:v>1</x:v>
      </x:c>
      <x:c r="D19" s="160" t="n">
        <x:v>1.15</x:v>
      </x:c>
      <x:c r="E19" s="160" t="n">
        <x:v>0.9</x:v>
      </x:c>
      <x:c r="F19" s="158" t="n">
        <x:f>CHOOSE($C$5,C19,D19,E19)</x:f>
        <x:v>1</x:v>
      </x:c>
      <x:c r="G19" s="115"/>
      <x:c r="H19" s="115"/>
      <x:c r="I19" s="90"/>
      <x:c r="J19" s="90"/>
    </x:row>
    <x:row r="20" ht="21" hidden="0" customHeight="1">
      <x:c r="A20" s="90"/>
      <x:c r="B20" s="90"/>
      <x:c r="C20" s="136"/>
      <x:c r="D20" s="90"/>
      <x:c r="E20" s="90"/>
      <x:c r="F20" s="90"/>
      <x:c r="G20" s="90"/>
      <x:c r="H20" s="132"/>
      <x:c r="I20" s="90"/>
      <x:c r="J20" s="90"/>
    </x:row>
    <x:row r="21" ht="21" hidden="0" customHeight="1">
      <x:c r="A21" s="90"/>
      <x:c r="B21" s="90"/>
      <x:c r="C21" s="138"/>
      <x:c r="D21" s="90"/>
      <x:c r="E21" s="90"/>
      <x:c r="F21" s="90"/>
      <x:c r="G21" s="90"/>
      <x:c r="H21" s="132"/>
      <x:c r="I21" s="90"/>
      <x:c r="J21" s="90"/>
    </x:row>
    <x:row r="22" ht="25" hidden="0" customHeight="1">
      <x:c r="A22" s="90"/>
      <x:c r="B22" s="110" t="str">
        <x:v>Valuation and cash-allocation assumptions</x:v>
      </x:c>
      <x:c r="C22" s="165"/>
      <x:c r="D22" s="110"/>
      <x:c r="E22" s="110"/>
      <x:c r="F22" s="110"/>
      <x:c r="G22" s="110"/>
      <x:c r="H22" s="166"/>
      <x:c r="I22" s="110"/>
      <x:c r="J22" s="110"/>
    </x:row>
    <x:row r="23" ht="21" hidden="0" customHeight="1">
      <x:c r="A23" s="90"/>
      <x:c r="B23" s="90"/>
      <x:c r="C23" s="135"/>
      <x:c r="D23" s="90"/>
      <x:c r="E23" s="90"/>
      <x:c r="F23" s="90"/>
      <x:c r="G23" s="90"/>
      <x:c r="H23" s="132"/>
      <x:c r="I23" s="90"/>
      <x:c r="J23" s="90"/>
    </x:row>
    <x:row r="24" ht="21" hidden="0" customHeight="1">
      <x:c r="A24" s="90"/>
      <x:c r="B24" s="90" t="str">
        <x:v>Risk-free rate</x:v>
      </x:c>
      <x:c r="C24" s="152" t="n">
        <x:v>0.042</x:v>
      </x:c>
      <x:c r="D24" s="90"/>
      <x:c r="E24" s="90"/>
      <x:c r="F24" s="90"/>
      <x:c r="G24" s="90"/>
      <x:c r="H24" s="132"/>
      <x:c r="I24" s="90"/>
      <x:c r="J24" s="90"/>
    </x:row>
    <x:row r="25" ht="21" hidden="0" customHeight="1">
      <x:c r="A25" s="90"/>
      <x:c r="B25" s="90" t="str">
        <x:v>Equity risk premium</x:v>
      </x:c>
      <x:c r="C25" s="152" t="n">
        <x:v>0.05</x:v>
      </x:c>
      <x:c r="D25" s="90"/>
      <x:c r="E25" s="90"/>
      <x:c r="F25" s="90"/>
      <x:c r="G25" s="90"/>
      <x:c r="H25" s="132"/>
      <x:c r="I25" s="90"/>
      <x:c r="J25" s="90"/>
    </x:row>
    <x:row r="26" ht="21" hidden="0" customHeight="1">
      <x:c r="A26" s="90"/>
      <x:c r="B26" s="90" t="str">
        <x:v>Beta</x:v>
      </x:c>
      <x:c r="C26" s="167" t="n">
        <x:v>1.9</x:v>
      </x:c>
      <x:c r="D26" s="90"/>
      <x:c r="E26" s="90"/>
      <x:c r="F26" s="90"/>
      <x:c r="G26" s="90"/>
      <x:c r="H26" s="132"/>
      <x:c r="I26" s="90"/>
      <x:c r="J26" s="90"/>
    </x:row>
    <x:row r="27" ht="21" hidden="0" customHeight="1">
      <x:c r="A27" s="90"/>
      <x:c r="B27" s="90" t="str">
        <x:v>Debt / refinancing interest rate</x:v>
      </x:c>
      <x:c r="C27" s="152" t="n">
        <x:v>0.05</x:v>
      </x:c>
      <x:c r="D27" s="90"/>
      <x:c r="E27" s="90"/>
      <x:c r="F27" s="90"/>
      <x:c r="G27" s="90"/>
      <x:c r="H27" s="132"/>
      <x:c r="I27" s="90"/>
      <x:c r="J27" s="90"/>
    </x:row>
    <x:row r="28" ht="21" hidden="0" customHeight="1">
      <x:c r="A28" s="90"/>
      <x:c r="B28" s="90" t="str">
        <x:v>Cash interest yield</x:v>
      </x:c>
      <x:c r="C28" s="107" t="n">
        <x:v>0.035</x:v>
      </x:c>
      <x:c r="D28" s="90"/>
      <x:c r="E28" s="90"/>
      <x:c r="F28" s="90"/>
      <x:c r="G28" s="90"/>
      <x:c r="H28" s="90"/>
      <x:c r="I28" s="90"/>
      <x:c r="J28" s="90"/>
    </x:row>
    <x:row r="29" ht="21" hidden="0" customHeight="1">
      <x:c r="A29" s="90"/>
      <x:c r="B29" s="90" t="str">
        <x:v>WACC override: 0 = calculated</x:v>
      </x:c>
      <x:c r="C29" s="107" t="n">
        <x:v>0</x:v>
      </x:c>
      <x:c r="D29" s="90"/>
      <x:c r="E29" s="90"/>
      <x:c r="F29" s="90"/>
      <x:c r="G29" s="90"/>
      <x:c r="H29" s="90"/>
      <x:c r="I29" s="90"/>
      <x:c r="J29" s="90"/>
    </x:row>
    <x:row r="30" ht="21" hidden="0" customHeight="1">
      <x:c r="A30" s="90"/>
      <x:c r="B30" s="90" t="str">
        <x:v>Midyear discounting: 1 yes / 0 no</x:v>
      </x:c>
      <x:c r="C30" s="170" t="n">
        <x:v>1</x:v>
      </x:c>
      <x:c r="D30" s="90"/>
      <x:c r="E30" s="90"/>
      <x:c r="F30" s="90"/>
      <x:c r="G30" s="90"/>
      <x:c r="H30" s="90"/>
      <x:c r="I30" s="90"/>
      <x:c r="J30" s="90"/>
    </x:row>
    <x:row r="31" ht="21" hidden="0" customHeight="1">
      <x:c r="A31" s="90"/>
      <x:c r="B31" s="90" t="str">
        <x:v>Terminal incremental capital / new sales</x:v>
      </x:c>
      <x:c r="C31" s="107" t="n">
        <x:v>0.3</x:v>
      </x:c>
      <x:c r="D31" s="90"/>
      <x:c r="E31" s="90"/>
      <x:c r="F31" s="90"/>
      <x:c r="G31" s="90"/>
      <x:c r="H31" s="90"/>
      <x:c r="I31" s="90"/>
      <x:c r="J31" s="90"/>
    </x:row>
    <x:row r="32" ht="21" hidden="0" customHeight="1">
      <x:c r="A32" s="90"/>
      <x:c r="B32" s="90" t="str">
        <x:v>Future investment commitment participation</x:v>
      </x:c>
      <x:c r="C32" s="107" t="n">
        <x:v>1</x:v>
      </x:c>
      <x:c r="D32" s="90"/>
      <x:c r="E32" s="90"/>
      <x:c r="F32" s="90"/>
      <x:c r="G32" s="90"/>
      <x:c r="H32" s="90"/>
      <x:c r="I32" s="90"/>
      <x:c r="J32" s="90"/>
    </x:row>
    <x:row r="33" ht="21" hidden="0" customHeight="1">
      <x:c r="A33" s="90"/>
      <x:c r="B33" s="90" t="str">
        <x:v>Future investment exit value retained</x:v>
      </x:c>
      <x:c r="C33" s="107" t="n">
        <x:v>0.5</x:v>
      </x:c>
      <x:c r="D33" s="90"/>
      <x:c r="E33" s="90"/>
      <x:c r="F33" s="90"/>
      <x:c r="G33" s="90"/>
      <x:c r="H33" s="90"/>
      <x:c r="I33" s="90"/>
      <x:c r="J33" s="90"/>
    </x:row>
    <x:row r="34" ht="21" hidden="0" customHeight="1">
      <x:c r="A34" s="90"/>
      <x:c r="B34" s="90" t="str">
        <x:v>Annual dividend growth</x:v>
      </x:c>
      <x:c r="C34" s="107" t="n">
        <x:v>0</x:v>
      </x:c>
      <x:c r="D34" s="90"/>
      <x:c r="E34" s="90"/>
      <x:c r="F34" s="90"/>
      <x:c r="G34" s="90"/>
      <x:c r="H34" s="90"/>
      <x:c r="I34" s="90"/>
      <x:c r="J34" s="90"/>
    </x:row>
    <x:row r="35" ht="21" hidden="0" customHeight="1">
      <x:c r="A35" s="90"/>
      <x:c r="B35" s="90" t="str">
        <x:v>Repurchase / stock issuance price</x:v>
      </x:c>
      <x:c r="C35" s="101" t="n">
        <x:v>230.36</x:v>
      </x:c>
      <x:c r="D35" s="90"/>
      <x:c r="E35" s="90"/>
      <x:c r="F35" s="90"/>
      <x:c r="G35" s="90"/>
      <x:c r="H35" s="90"/>
      <x:c r="I35" s="90"/>
      <x:c r="J35" s="90"/>
    </x:row>
    <x:row r="36" ht="21" hidden="0" customHeight="1">
      <x:c r="A36" s="90"/>
      <x:c r="B36" s="90" t="str">
        <x:v>Comps multiple low</x:v>
      </x:c>
      <x:c r="C36" s="173" t="n">
        <x:v>15</x:v>
      </x:c>
      <x:c r="D36" s="90"/>
      <x:c r="E36" s="90"/>
      <x:c r="F36" s="90"/>
      <x:c r="G36" s="90"/>
      <x:c r="H36" s="90"/>
      <x:c r="I36" s="90"/>
      <x:c r="J36" s="90"/>
    </x:row>
    <x:row r="37" ht="21" hidden="0" customHeight="1">
      <x:c r="A37" s="90"/>
      <x:c r="B37" s="90" t="str">
        <x:v>Comps multiple high</x:v>
      </x:c>
      <x:c r="C37" s="173" t="n">
        <x:v>20</x:v>
      </x:c>
      <x:c r="D37" s="90"/>
      <x:c r="E37" s="90"/>
      <x:c r="F37" s="90"/>
      <x:c r="G37" s="90"/>
      <x:c r="H37" s="90"/>
      <x:c r="I37" s="90"/>
      <x:c r="J37" s="90"/>
    </x:row>
    <x:row r="38" ht="21" hidden="0" customHeight="1">
      <x:c r="A38" s="90"/>
      <x:c r="B38" s="90" t="str">
        <x:v>Teaching case: buyer premium</x:v>
      </x:c>
      <x:c r="C38" s="107" t="n">
        <x:v>0.25</x:v>
      </x:c>
      <x:c r="D38" s="90"/>
      <x:c r="E38" s="90"/>
      <x:c r="F38" s="90"/>
      <x:c r="G38" s="90"/>
      <x:c r="H38" s="90"/>
      <x:c r="I38" s="90"/>
      <x:c r="J38" s="90"/>
    </x:row>
    <x:row r="39" ht="21" hidden="0" customHeight="1">
      <x:c r="A39" s="90"/>
      <x:c r="B39" s="90" t="str">
        <x:v>Teaching case: leverage / annual EBITDA</x:v>
      </x:c>
      <x:c r="C39" s="173" t="n">
        <x:v>5</x:v>
      </x:c>
      <x:c r="D39" s="90"/>
      <x:c r="E39" s="90"/>
      <x:c r="F39" s="90"/>
      <x:c r="G39" s="90"/>
      <x:c r="H39" s="90"/>
      <x:c r="I39" s="90"/>
      <x:c r="J39" s="90"/>
    </x:row>
    <x:row r="40" ht="21" hidden="0" customHeight="1">
      <x:c r="A40" s="90"/>
      <x:c r="B40" s="90" t="str">
        <x:v>Teaching case: fee / entry EV</x:v>
      </x:c>
      <x:c r="C40" s="107" t="n">
        <x:v>0.02</x:v>
      </x:c>
      <x:c r="D40" s="90"/>
      <x:c r="E40" s="90"/>
      <x:c r="F40" s="90"/>
      <x:c r="G40" s="90"/>
      <x:c r="H40" s="90"/>
      <x:c r="I40" s="90"/>
      <x:c r="J40" s="90"/>
    </x:row>
    <x:row r="41" ht="21" hidden="0" customHeight="1">
      <x:c r="A41" s="90"/>
      <x:c r="B41" s="90" t="str">
        <x:v>Teaching case: annual return hurdle</x:v>
      </x:c>
      <x:c r="C41" s="107" t="n">
        <x:v>0.2</x:v>
      </x:c>
      <x:c r="D41" s="90"/>
      <x:c r="E41" s="90"/>
      <x:c r="F41" s="90"/>
      <x:c r="G41" s="90"/>
      <x:c r="H41" s="90"/>
      <x:c r="I41" s="90"/>
      <x:c r="J41" s="90"/>
    </x:row>
    <x:row r="42" ht="21" hidden="0" customHeight="1">
      <x:c r="A42" s="90"/>
      <x:c r="B42" s="90" t="str">
        <x:v>Hugging Face cash consideration fraction</x:v>
      </x:c>
      <x:c r="C42" s="107" t="n">
        <x:v>1</x:v>
      </x:c>
      <x:c r="D42" s="90"/>
      <x:c r="E42" s="90"/>
      <x:c r="F42" s="90"/>
      <x:c r="G42" s="90"/>
      <x:c r="H42" s="90"/>
      <x:c r="I42" s="90"/>
      <x:c r="J42" s="90"/>
    </x:row>
    <x:row r="43" ht="21" hidden="0" customHeight="1">
      <x:c r="A43" s="90"/>
      <x:c r="B43" s="90" t="str">
        <x:v>Extra capacity cash cost / revenue</x:v>
      </x:c>
      <x:c r="C43" s="107" t="n">
        <x:v>0</x:v>
      </x:c>
      <x:c r="D43" s="90"/>
      <x:c r="E43" s="90"/>
      <x:c r="F43" s="90"/>
      <x:c r="G43" s="90"/>
      <x:c r="H43" s="90"/>
      <x:c r="I43" s="90"/>
      <x:c r="J43" s="90"/>
    </x:row>
    <x:row r="44" ht="25" hidden="0" customHeight="1">
      <x:c r="A44" s="90"/>
      <x:c r="B44" s="110" t="str">
        <x:v>Supplied forecast reference — assumptions, US$ millions</x:v>
      </x:c>
      <x:c r="C44" s="110"/>
      <x:c r="D44" s="110"/>
      <x:c r="E44" s="110"/>
      <x:c r="F44" s="110"/>
      <x:c r="G44" s="110"/>
      <x:c r="H44" s="110"/>
      <x:c r="I44" s="110"/>
      <x:c r="J44" s="110"/>
    </x:row>
    <x:row r="45" ht="21" hidden="0" customHeight="1">
      <x:c r="A45" s="90"/>
      <x:c r="B45" s="90"/>
      <x:c r="C45" s="90" t="str">
        <x:v>FY2027</x:v>
      </x:c>
      <x:c r="D45" s="90" t="str">
        <x:v>FY2028</x:v>
      </x:c>
      <x:c r="E45" s="90" t="str">
        <x:v>FY2029</x:v>
      </x:c>
      <x:c r="F45" s="90" t="str">
        <x:v>FY2030</x:v>
      </x:c>
      <x:c r="G45" s="90" t="str">
        <x:v>FY2031</x:v>
      </x:c>
      <x:c r="H45" s="90"/>
      <x:c r="I45" s="90"/>
      <x:c r="J45" s="90"/>
    </x:row>
    <x:row r="46" ht="21" hidden="0" customHeight="1">
      <x:c r="A46" s="90"/>
      <x:c r="B46" s="90" t="str">
        <x:v>Revenue forecast</x:v>
      </x:c>
      <x:c r="C46" s="104" t="n">
        <x:v>411313.93</x:v>
      </x:c>
      <x:c r="D46" s="104" t="n">
        <x:v>677828.23</x:v>
      </x:c>
      <x:c r="E46" s="104" t="n">
        <x:v>882069.93</x:v>
      </x:c>
      <x:c r="F46" s="104" t="n">
        <x:v>1010020.04</x:v>
      </x:c>
      <x:c r="G46" s="104" t="n">
        <x:v>1206974.36</x:v>
      </x:c>
      <x:c r="H46" s="90"/>
      <x:c r="I46" s="90"/>
      <x:c r="J46" s="90"/>
    </x:row>
    <x:row r="47" ht="21" hidden="0" customHeight="1">
      <x:c r="A47" s="90"/>
      <x:c r="B47" s="90" t="str">
        <x:v>Operating income reference</x:v>
      </x:c>
      <x:c r="C47" s="104" t="n">
        <x:v>268876.4</x:v>
      </x:c>
      <x:c r="D47" s="104" t="n">
        <x:v>450483.62</x:v>
      </x:c>
      <x:c r="E47" s="104" t="n">
        <x:v>599846.93</x:v>
      </x:c>
      <x:c r="F47" s="104" t="n">
        <x:v>695007</x:v>
      </x:c>
      <x:c r="G47" s="104" t="n">
        <x:v>780417</x:v>
      </x:c>
      <x:c r="H47" s="90"/>
      <x:c r="I47" s="90"/>
      <x:c r="J47" s="90"/>
    </x:row>
    <x:row r="48" ht="21" hidden="0" customHeight="1">
      <x:c r="A48" s="90"/>
      <x:c r="B48" s="90" t="str">
        <x:v>D&amp;A forecast</x:v>
      </x:c>
      <x:c r="C48" s="104" t="n">
        <x:v>4410.93</x:v>
      </x:c>
      <x:c r="D48" s="104" t="n">
        <x:v>5797.31</x:v>
      </x:c>
      <x:c r="E48" s="104" t="n">
        <x:v>6997.06</x:v>
      </x:c>
      <x:c r="F48" s="104" t="n">
        <x:v>14400.94</x:v>
      </x:c>
      <x:c r="G48" s="104" t="n">
        <x:v>18321.57</x:v>
      </x:c>
      <x:c r="H48" s="90"/>
      <x:c r="I48" s="90"/>
      <x:c r="J48" s="90"/>
    </x:row>
    <x:row r="49" ht="21" hidden="0" customHeight="1">
      <x:c r="A49" s="90"/>
      <x:c r="B49" s="90" t="str">
        <x:v>Capital expenditure forecast</x:v>
      </x:c>
      <x:c r="C49" s="104" t="n">
        <x:v>9598.7</x:v>
      </x:c>
      <x:c r="D49" s="104" t="n">
        <x:v>12830.5</x:v>
      </x:c>
      <x:c r="E49" s="104" t="n">
        <x:v>15472.57</x:v>
      </x:c>
      <x:c r="F49" s="104" t="n">
        <x:v>25469</x:v>
      </x:c>
      <x:c r="G49" s="104" t="n">
        <x:v>29832.53</x:v>
      </x:c>
      <x:c r="H49" s="90"/>
      <x:c r="I49" s="90"/>
      <x:c r="J49" s="90"/>
    </x:row>
    <x:row r="50" ht="21" hidden="0" customHeight="1">
      <x:c r="A50" s="90"/>
      <x:c r="B50" s="90" t="str">
        <x:v>Normalized EPS reference</x:v>
      </x:c>
      <x:c r="C50" s="101" t="n">
        <x:v>9.31</x:v>
      </x:c>
      <x:c r="D50" s="101" t="n">
        <x:v>15.52</x:v>
      </x:c>
      <x:c r="E50" s="101" t="n">
        <x:v>20.73</x:v>
      </x:c>
      <x:c r="F50" s="101" t="n">
        <x:v>21.08</x:v>
      </x:c>
      <x:c r="G50" s="101" t="n">
        <x:v>24.38</x:v>
      </x:c>
      <x:c r="H50" s="90"/>
      <x:c r="I50" s="90"/>
      <x:c r="J50" s="90"/>
    </x:row>
    <x:row r="51" ht="21" hidden="0" customHeight="1">
      <x:c r="A51" s="90"/>
      <x:c r="B51" s="90"/>
      <x:c r="C51" s="90"/>
      <x:c r="D51" s="90"/>
      <x:c r="E51" s="90"/>
      <x:c r="F51" s="90"/>
      <x:c r="G51" s="90"/>
      <x:c r="H51" s="90"/>
      <x:c r="I51" s="90"/>
      <x:c r="J51" s="90"/>
    </x:row>
    <x:row r="52" ht="21" hidden="0" customHeight="1">
      <x:c r="A52" s="90"/>
      <x:c r="B52" s="90"/>
      <x:c r="C52" s="90"/>
      <x:c r="D52" s="90"/>
      <x:c r="E52" s="90"/>
      <x:c r="F52" s="90"/>
      <x:c r="G52" s="90"/>
      <x:c r="H52" s="90"/>
      <x:c r="I52" s="90"/>
      <x:c r="J52" s="90"/>
    </x:row>
    <x:row r="53" ht="21" hidden="0" customHeight="1">
      <x:c r="A53" s="90"/>
      <x:c r="B53" s="90" t="str">
        <x:v>Committed equity investments</x:v>
      </x:c>
      <x:c r="C53" s="102" t="n">
        <x:v>18000</x:v>
      </x:c>
      <x:c r="D53" s="102" t="n">
        <x:v>3000</x:v>
      </x:c>
      <x:c r="E53" s="102" t="n">
        <x:v>2000</x:v>
      </x:c>
      <x:c r="F53" s="102" t="n">
        <x:v>2000</x:v>
      </x:c>
      <x:c r="G53" s="102" t="n">
        <x:v>0</x:v>
      </x:c>
      <x:c r="H53" s="90"/>
      <x:c r="I53" s="90"/>
      <x:c r="J53" s="90"/>
    </x:row>
    <x:row r="54" ht="21" hidden="0" customHeight="1">
      <x:c r="A54" s="90"/>
      <x:c r="B54" s="90" t="str">
        <x:v>Committed capital expenditures</x:v>
      </x:c>
      <x:c r="C54" s="102" t="n">
        <x:v>7000</x:v>
      </x:c>
      <x:c r="D54" s="102" t="n">
        <x:v>1000</x:v>
      </x:c>
      <x:c r="E54" s="102" t="n">
        <x:v>0</x:v>
      </x:c>
      <x:c r="F54" s="102" t="n">
        <x:v>0</x:v>
      </x:c>
      <x:c r="G54" s="102" t="n">
        <x:v>0</x:v>
      </x:c>
      <x:c r="H54" s="90"/>
      <x:c r="I54" s="90"/>
      <x:c r="J54" s="90"/>
    </x:row>
    <x:row r="55" ht="21" hidden="0" customHeight="1">
      <x:c r="A55" s="90"/>
      <x:c r="B55" s="90"/>
      <x:c r="C55" s="90"/>
      <x:c r="D55" s="90"/>
      <x:c r="E55" s="90"/>
      <x:c r="F55" s="90"/>
      <x:c r="G55" s="90"/>
      <x:c r="H55" s="90"/>
      <x:c r="I55" s="90"/>
      <x:c r="J55" s="90"/>
    </x:row>
    <x:row r="56" ht="21" hidden="0" customHeight="1">
      <x:c r="A56" s="90"/>
      <x:c r="B56" s="111" t="str">
        <x:v>Commitments: H2 FY2027, then FY2028–FY2031; Q2 10-Q commitment table, page 17. Procurement obligations are reflected through costs and working capital, rather than deducted again as debt. Capital spending cannot fall below the disclosed commitment floor.</x:v>
      </x:c>
      <x:c r="C56" s="111"/>
      <x:c r="D56" s="111"/>
      <x:c r="E56" s="111"/>
      <x:c r="F56" s="111"/>
      <x:c r="G56" s="111"/>
      <x:c r="H56" s="111"/>
      <x:c r="I56" s="111"/>
      <x:c r="J56" s="111"/>
    </x:row>
    <x:row r="57" ht="21" hidden="0" customHeight="1">
      <x:c r="A57" s="90"/>
      <x:c r="B57" s="111"/>
      <x:c r="C57" s="111"/>
      <x:c r="D57" s="111"/>
      <x:c r="E57" s="111"/>
      <x:c r="F57" s="111"/>
      <x:c r="G57" s="111"/>
      <x:c r="H57" s="111"/>
      <x:c r="I57" s="111"/>
      <x:c r="J57" s="111"/>
    </x:row>
    <x:row r="58" ht="21" hidden="0" customHeight="1">
      <x:c r="A58" s="90"/>
      <x:c r="B58" s="111"/>
      <x:c r="C58" s="111"/>
      <x:c r="D58" s="111"/>
      <x:c r="E58" s="111"/>
      <x:c r="F58" s="111"/>
      <x:c r="G58" s="111"/>
      <x:c r="H58" s="111"/>
      <x:c r="I58" s="111"/>
      <x:c r="J58" s="111"/>
    </x:row>
    <x:row r="59" ht="21" hidden="0" customHeight="1">
      <x:c r="A59" s="90"/>
      <x:c r="B59" s="90"/>
      <x:c r="C59" s="90"/>
      <x:c r="D59" s="90"/>
      <x:c r="E59" s="90"/>
      <x:c r="F59" s="90"/>
      <x:c r="G59" s="90"/>
      <x:c r="H59" s="90"/>
      <x:c r="I59" s="90"/>
      <x:c r="J59" s="90"/>
    </x:row>
    <x:row r="60" ht="21" hidden="0" customHeight="1">
      <x:c r="A60" s="90"/>
      <x:c r="B60" s="90"/>
      <x:c r="C60" s="90"/>
      <x:c r="D60" s="90"/>
      <x:c r="E60" s="90"/>
      <x:c r="F60" s="90"/>
      <x:c r="G60" s="90"/>
      <x:c r="H60" s="90"/>
      <x:c r="I60" s="90"/>
      <x:c r="J60" s="90"/>
    </x:row>
    <x:row r="61" ht="21" hidden="0" customHeight="1">
      <x:c r="A61" s="90"/>
      <x:c r="B61" s="111" t="str">
        <x:v>The supplied workbook labels its forward estimates as Capital IQ. They are retained as editable planning assumptions. The active forecast uses a separate operating-margin assumption, so its earnings are not the same as the supplied EBIT or normalized EPS reference.</x:v>
      </x:c>
      <x:c r="C61" s="111"/>
      <x:c r="D61" s="111"/>
      <x:c r="E61" s="111"/>
      <x:c r="F61" s="111"/>
      <x:c r="G61" s="111"/>
      <x:c r="H61" s="111"/>
      <x:c r="I61" s="111"/>
      <x:c r="J61" s="111"/>
    </x:row>
    <x:row r="62" ht="21" hidden="0" customHeight="1">
      <x:c r="A62" s="90"/>
      <x:c r="B62" s="111"/>
      <x:c r="C62" s="111"/>
      <x:c r="D62" s="111"/>
      <x:c r="E62" s="111"/>
      <x:c r="F62" s="111"/>
      <x:c r="G62" s="111"/>
      <x:c r="H62" s="111"/>
      <x:c r="I62" s="111"/>
      <x:c r="J62" s="111"/>
    </x:row>
    <x:row r="63" ht="21" hidden="0" customHeight="1">
      <x:c r="A63" s="90"/>
      <x:c r="B63" s="111"/>
      <x:c r="C63" s="111"/>
      <x:c r="D63" s="111"/>
      <x:c r="E63" s="111"/>
      <x:c r="F63" s="111"/>
      <x:c r="G63" s="111"/>
      <x:c r="H63" s="111"/>
      <x:c r="I63" s="111"/>
      <x:c r="J63" s="111"/>
    </x:row>
    <x:row r="64" ht="21" hidden="0" customHeight="1">
      <x:c r="A64" s="90"/>
      <x:c r="B64" s="90"/>
      <x:c r="C64" s="90"/>
      <x:c r="D64" s="90"/>
      <x:c r="E64" s="90"/>
      <x:c r="F64" s="90"/>
      <x:c r="G64" s="90"/>
      <x:c r="H64" s="90"/>
      <x:c r="I64" s="90"/>
      <x:c r="J64" s="90"/>
    </x:row>
    <x:row r="65" ht="21" hidden="0" customHeight="1">
      <x:c r="A65" s="90"/>
      <x:c r="B65" s="90"/>
      <x:c r="C65" s="90"/>
      <x:c r="D65" s="90"/>
      <x:c r="E65" s="90"/>
      <x:c r="F65" s="90"/>
      <x:c r="G65" s="90"/>
      <x:c r="H65" s="90"/>
      <x:c r="I65" s="90"/>
      <x:c r="J65" s="90"/>
    </x:row>
    <x:row r="66" ht="21" hidden="0" customHeight="1">
      <x:c r="A66" s="90"/>
      <x:c r="B66" s="111" t="str">
        <x:v>NWC assumes more cash tied up in customer receivables, inventory and prepayments than the original 8% ratio. Terminal margins step down as growth matures. Test margin pressure and slower demand together.</x:v>
      </x:c>
      <x:c r="C66" s="111"/>
      <x:c r="D66" s="111"/>
      <x:c r="E66" s="111"/>
      <x:c r="F66" s="111"/>
      <x:c r="G66" s="111"/>
      <x:c r="H66" s="111"/>
      <x:c r="I66" s="111"/>
      <x:c r="J66" s="111"/>
    </x:row>
    <x:row r="67" ht="21" hidden="0" customHeight="1">
      <x:c r="A67" s="90"/>
      <x:c r="B67" s="111"/>
      <x:c r="C67" s="111"/>
      <x:c r="D67" s="111"/>
      <x:c r="E67" s="111"/>
      <x:c r="F67" s="111"/>
      <x:c r="G67" s="111"/>
      <x:c r="H67" s="111"/>
      <x:c r="I67" s="111"/>
      <x:c r="J67" s="111"/>
    </x:row>
    <x:row r="68" ht="21" hidden="0" customHeight="1">
      <x:c r="A68" s="90"/>
      <x:c r="B68" s="111"/>
      <x:c r="C68" s="111"/>
      <x:c r="D68" s="111"/>
      <x:c r="E68" s="111"/>
      <x:c r="F68" s="111"/>
      <x:c r="G68" s="111"/>
      <x:c r="H68" s="111"/>
      <x:c r="I68" s="111"/>
      <x:c r="J68" s="111"/>
    </x:row>
    <x:row r="69" ht="21" hidden="0" customHeight="1">
      <x:c r="A69" s="90"/>
      <x:c r="B69" s="90"/>
      <x:c r="C69" s="90"/>
      <x:c r="D69" s="90"/>
      <x:c r="E69" s="90"/>
      <x:c r="F69" s="90"/>
      <x:c r="G69" s="90"/>
      <x:c r="H69" s="90"/>
      <x:c r="I69" s="90"/>
      <x:c r="J69" s="90"/>
    </x:row>
    <x:row r="70" ht="21" hidden="0" customHeight="1">
      <x:c r="A70" s="90"/>
      <x:c r="B70" s="111" t="str">
        <x:v>Hugging Face: 100% cash payment in FY2028 is an assumption; disclosed consideration does not specify the cash / stock split. The model assigns no incremental operating profit and applies the investment recovery assumption at exit.</x:v>
      </x:c>
      <x:c r="C70" s="111"/>
      <x:c r="D70" s="111"/>
      <x:c r="E70" s="111"/>
      <x:c r="F70" s="111"/>
      <x:c r="G70" s="111"/>
      <x:c r="H70" s="111"/>
      <x:c r="I70" s="111"/>
      <x:c r="J70" s="111"/>
    </x:row>
    <x:row r="71" ht="21" hidden="0" customHeight="1">
      <x:c r="A71" s="90"/>
      <x:c r="B71" s="111"/>
      <x:c r="C71" s="111"/>
      <x:c r="D71" s="111"/>
      <x:c r="E71" s="111"/>
      <x:c r="F71" s="111"/>
      <x:c r="G71" s="111"/>
      <x:c r="H71" s="111"/>
      <x:c r="I71" s="111"/>
      <x:c r="J71" s="111"/>
    </x:row>
    <x:row r="72" ht="21" hidden="0" customHeight="1">
      <x:c r="A72" s="90"/>
      <x:c r="B72" s="111"/>
      <x:c r="C72" s="111"/>
      <x:c r="D72" s="111"/>
      <x:c r="E72" s="111"/>
      <x:c r="F72" s="111"/>
      <x:c r="G72" s="111"/>
      <x:c r="H72" s="111"/>
      <x:c r="I72" s="111"/>
      <x:c r="J72" s="111"/>
    </x:row>
    <x:row r="73" ht="21" hidden="0" customHeight="1">
      <x:c r="A73" s="90"/>
      <x:c r="B73" s="90"/>
      <x:c r="C73" s="90"/>
      <x:c r="D73" s="90"/>
      <x:c r="E73" s="90"/>
      <x:c r="F73" s="90"/>
      <x:c r="G73" s="90"/>
      <x:c r="H73" s="90"/>
      <x:c r="I73" s="90"/>
      <x:c r="J73" s="90"/>
    </x:row>
    <x:row r="74" ht="21" hidden="0" customHeight="1">
      <x:c r="A74" s="90"/>
      <x:c r="B74" s="90"/>
      <x:c r="C74" s="90"/>
      <x:c r="D74" s="90"/>
      <x:c r="E74" s="90"/>
      <x:c r="F74" s="90"/>
      <x:c r="G74" s="90"/>
      <x:c r="H74" s="90"/>
      <x:c r="I74" s="90"/>
      <x:c r="J74" s="90"/>
    </x:row>
    <x:row r="75" ht="21" hidden="0" customHeight="1">
      <x:c r="A75" s="90"/>
      <x:c r="B75" s="90"/>
      <x:c r="C75" s="90"/>
      <x:c r="D75" s="90"/>
      <x:c r="E75" s="90"/>
      <x:c r="F75" s="90"/>
      <x:c r="G75" s="90"/>
      <x:c r="H75" s="90"/>
      <x:c r="I75" s="90"/>
      <x:c r="J75" s="90"/>
    </x:row>
    <x:row r="76" ht="15" hidden="0">
      <x:c r="A76" s="2"/>
      <x:c r="B76" s="2"/>
      <x:c r="C76" s="2"/>
      <x:c r="D76" s="2"/>
      <x:c r="E76" s="2"/>
      <x:c r="F76" s="2"/>
      <x:c r="G76" s="2"/>
      <x:c r="H76" s="2"/>
      <x:c r="I76" s="2"/>
      <x:c r="J76" s="2"/>
    </x:row>
    <x:row r="77" ht="15" hidden="0">
      <x:c r="A77" s="2"/>
      <x:c r="B77" s="2"/>
      <x:c r="C77" s="2"/>
      <x:c r="D77" s="2"/>
      <x:c r="E77" s="2"/>
      <x:c r="F77" s="2"/>
      <x:c r="G77" s="2"/>
      <x:c r="H77" s="2"/>
      <x:c r="I77" s="2"/>
      <x:c r="J77" s="2"/>
    </x:row>
    <x:row r="78" ht="15" hidden="0">
      <x:c r="A78" s="2"/>
      <x:c r="B78" s="2"/>
      <x:c r="C78" s="2"/>
      <x:c r="D78" s="2"/>
      <x:c r="E78" s="2"/>
      <x:c r="F78" s="2"/>
      <x:c r="G78" s="2"/>
      <x:c r="H78" s="2"/>
      <x:c r="I78" s="2"/>
      <x:c r="J78" s="2"/>
    </x:row>
    <x:row r="79" ht="15" hidden="0">
      <x:c r="A79" s="2"/>
      <x:c r="B79" s="2"/>
      <x:c r="C79" s="2"/>
      <x:c r="D79" s="2"/>
      <x:c r="E79" s="2"/>
      <x:c r="F79" s="2"/>
      <x:c r="G79" s="2"/>
      <x:c r="H79" s="2"/>
      <x:c r="I79" s="2"/>
      <x:c r="J79" s="2"/>
    </x:row>
    <x:row r="80" ht="15" hidden="0">
      <x:c r="A80" s="2"/>
      <x:c r="B80" s="2"/>
      <x:c r="C80" s="2"/>
      <x:c r="D80" s="2"/>
      <x:c r="E80" s="2"/>
      <x:c r="F80" s="2"/>
      <x:c r="G80" s="2"/>
      <x:c r="H80" s="2"/>
      <x:c r="I80" s="2"/>
      <x:c r="J80" s="2"/>
    </x:row>
    <x:row r="81" ht="15" hidden="0">
      <x:c r="A81" s="2"/>
      <x:c r="B81" s="2"/>
      <x:c r="C81" s="2"/>
      <x:c r="D81" s="2"/>
      <x:c r="E81" s="2"/>
      <x:c r="F81" s="2"/>
      <x:c r="G81" s="2"/>
      <x:c r="H81" s="2"/>
      <x:c r="I81" s="2"/>
      <x:c r="J81" s="2"/>
    </x:row>
    <x:row r="82" ht="15" hidden="0">
      <x:c r="A82" s="2"/>
      <x:c r="B82" s="2"/>
      <x:c r="C82" s="2"/>
      <x:c r="D82" s="2"/>
      <x:c r="E82" s="2"/>
      <x:c r="F82" s="2"/>
      <x:c r="G82" s="2"/>
      <x:c r="H82" s="2"/>
      <x:c r="I82" s="2"/>
      <x:c r="J82" s="2"/>
    </x:row>
    <x:row r="83" ht="15" hidden="0">
      <x:c r="A83" s="2"/>
      <x:c r="B83" s="2"/>
      <x:c r="C83" s="2"/>
      <x:c r="D83" s="2"/>
      <x:c r="E83" s="2"/>
      <x:c r="F83" s="2"/>
      <x:c r="G83" s="2"/>
      <x:c r="H83" s="2"/>
      <x:c r="I83" s="2"/>
      <x:c r="J83" s="2"/>
    </x:row>
    <x:row r="84" ht="15" hidden="0">
      <x:c r="A84" s="2"/>
      <x:c r="B84" s="2"/>
      <x:c r="C84" s="2"/>
      <x:c r="D84" s="2"/>
      <x:c r="E84" s="2"/>
      <x:c r="F84" s="2"/>
      <x:c r="G84" s="2"/>
      <x:c r="H84" s="2"/>
      <x:c r="I84" s="2"/>
      <x:c r="J84" s="2"/>
    </x:row>
    <x:row r="85" ht="15" hidden="0">
      <x:c r="A85" s="2"/>
      <x:c r="B85" s="2"/>
      <x:c r="C85" s="2"/>
      <x:c r="D85" s="2"/>
      <x:c r="E85" s="2"/>
      <x:c r="F85" s="2"/>
      <x:c r="G85" s="2"/>
      <x:c r="H85" s="2"/>
      <x:c r="I85" s="2"/>
      <x:c r="J85" s="2"/>
    </x:row>
    <x:row r="86" ht="15" hidden="0">
      <x:c r="A86" s="2"/>
      <x:c r="B86" s="2"/>
      <x:c r="C86" s="2"/>
      <x:c r="D86" s="2"/>
      <x:c r="E86" s="2"/>
      <x:c r="F86" s="2"/>
      <x:c r="G86" s="2"/>
      <x:c r="H86" s="2"/>
      <x:c r="I86" s="2"/>
      <x:c r="J86" s="2"/>
    </x:row>
    <x:row r="87" ht="15" hidden="0">
      <x:c r="A87" s="2"/>
      <x:c r="B87" s="2"/>
      <x:c r="C87" s="2"/>
      <x:c r="D87" s="2"/>
      <x:c r="E87" s="2"/>
      <x:c r="F87" s="2"/>
      <x:c r="G87" s="2"/>
      <x:c r="H87" s="2"/>
      <x:c r="I87" s="2"/>
      <x:c r="J87" s="2"/>
    </x:row>
    <x:row r="88" ht="15" hidden="0">
      <x:c r="A88" s="2"/>
      <x:c r="B88" s="2"/>
      <x:c r="C88" s="2"/>
      <x:c r="D88" s="2"/>
      <x:c r="E88" s="2"/>
      <x:c r="F88" s="2"/>
      <x:c r="G88" s="2"/>
      <x:c r="H88" s="2"/>
      <x:c r="I88" s="2"/>
      <x:c r="J88" s="2"/>
    </x:row>
    <x:row r="89" ht="15" hidden="0">
      <x:c r="A89" s="2"/>
      <x:c r="B89" s="2"/>
      <x:c r="C89" s="2"/>
      <x:c r="D89" s="2"/>
      <x:c r="E89" s="2"/>
      <x:c r="F89" s="2"/>
      <x:c r="G89" s="2"/>
      <x:c r="H89" s="2"/>
      <x:c r="I89" s="2"/>
      <x:c r="J89" s="2"/>
    </x:row>
    <x:row r="90" ht="15" hidden="0">
      <x:c r="A90" s="2"/>
      <x:c r="B90" s="2"/>
      <x:c r="C90" s="2"/>
      <x:c r="D90" s="2"/>
      <x:c r="E90" s="2"/>
      <x:c r="F90" s="2"/>
      <x:c r="G90" s="2"/>
      <x:c r="H90" s="2"/>
      <x:c r="I90" s="2"/>
      <x:c r="J90" s="2"/>
    </x:row>
  </x:sheetData>
  <x:mergeCells>
    <x:mergeCell ref="A1:J1"/>
    <x:mergeCell ref="A2:J3"/>
    <x:mergeCell ref="B22:J22"/>
    <x:mergeCell ref="B44:J44"/>
    <x:mergeCell ref="B56:J58"/>
    <x:mergeCell ref="B61:J63"/>
    <x:mergeCell ref="B66:J68"/>
    <x:mergeCell ref="B70:J72"/>
  </x:mergeCells>
  <x:dataValidations count="1">
    <x:dataValidation type="list" sqref="C5">
      <x:formula1>"1,2,3"</x:formula1>
    </x:dataValidation>
  </x:dataValidations>
  <x:pageMargins left="0.7" right="0.7" top="0.75" bottom="0.75" header="0.3" footer="0.3"/>
  <x:legacyDrawing xmlns:r="http://schemas.openxmlformats.org/officeDocument/2006/relationships" r:id="R0ac31367fe164ca6"/>
</x:worksheet>
</file>

<file path=xl/worksheets/sheet4.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4"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HISTORICAL FINANCIALS</x:v>
      </x:c>
      <x:c r="B1" s="142"/>
      <x:c r="C1" s="142"/>
      <x:c r="D1" s="142"/>
      <x:c r="E1" s="142"/>
      <x:c r="F1" s="142"/>
      <x:c r="G1" s="142"/>
      <x:c r="H1" s="142"/>
      <x:c r="I1" s="92"/>
      <x:c r="J1" s="92"/>
    </x:row>
    <x:row r="2" ht="21" hidden="0" customHeight="1">
      <x:c r="A2" s="144" t="str">
        <x:v>US$ millions, except split-adjusted EPS. Fiscal dates follow NVIDIA’s reporting calendar.</x:v>
      </x:c>
      <x:c r="B2" s="144"/>
      <x:c r="C2" s="144"/>
      <x:c r="D2" s="144"/>
      <x:c r="E2" s="144"/>
      <x:c r="F2" s="144"/>
      <x:c r="G2" s="144"/>
      <x:c r="H2" s="144"/>
      <x:c r="I2" s="94"/>
      <x:c r="J2" s="94"/>
    </x:row>
    <x:row r="3" ht="21" hidden="0" customHeight="1">
      <x:c r="A3" s="94"/>
      <x:c r="B3" s="94"/>
      <x:c r="C3" s="94"/>
      <x:c r="D3" s="94"/>
      <x:c r="E3" s="94"/>
      <x:c r="F3" s="94"/>
      <x:c r="G3" s="94"/>
      <x:c r="H3" s="94"/>
      <x:c r="I3" s="94"/>
      <x:c r="J3" s="94"/>
    </x:row>
    <x:row r="4" ht="25" hidden="0" customHeight="1">
      <x:c r="A4" s="115"/>
      <x:c r="B4" s="110" t="str">
        <x:v>Income statement</x:v>
      </x:c>
      <x:c r="C4" s="110"/>
      <x:c r="D4" s="110"/>
      <x:c r="E4" s="110"/>
      <x:c r="F4" s="110"/>
      <x:c r="G4" s="110"/>
      <x:c r="H4" s="110"/>
      <x:c r="I4" s="110"/>
      <x:c r="J4" s="110"/>
    </x:row>
    <x:row r="5" ht="21" hidden="0" customHeight="1">
      <x:c r="A5" s="90"/>
      <x:c r="B5" s="115" t="str">
        <x:v>($ in millions)</x:v>
      </x:c>
      <x:c r="C5" s="118" t="str">
        <x:v>FY2022</x:v>
      </x:c>
      <x:c r="D5" s="118" t="str">
        <x:v>FY2023</x:v>
      </x:c>
      <x:c r="E5" s="118" t="str">
        <x:v>FY2024</x:v>
      </x:c>
      <x:c r="F5" s="118" t="str">
        <x:v>FY2025</x:v>
      </x:c>
      <x:c r="G5" s="118" t="str">
        <x:v>FY2026</x:v>
      </x:c>
      <x:c r="H5" s="90"/>
      <x:c r="I5" s="90"/>
      <x:c r="J5" s="90"/>
    </x:row>
    <x:row r="6" ht="21" hidden="0" customHeight="1">
      <x:c r="A6" s="90"/>
      <x:c r="B6" s="90"/>
      <x:c r="C6" s="190" t="str">
        <x:v>1/30/22</x:v>
      </x:c>
      <x:c r="D6" s="190" t="str">
        <x:v>1/29/23</x:v>
      </x:c>
      <x:c r="E6" s="190" t="str">
        <x:v>1/28/24</x:v>
      </x:c>
      <x:c r="F6" s="190" t="str">
        <x:v>1/26/25</x:v>
      </x:c>
      <x:c r="G6" s="190" t="str">
        <x:v>1/25/26</x:v>
      </x:c>
      <x:c r="H6" s="90"/>
      <x:c r="I6" s="90"/>
      <x:c r="J6" s="90"/>
    </x:row>
    <x:row r="7" ht="21" hidden="0" customHeight="1">
      <x:c r="A7" s="90"/>
      <x:c r="B7" s="115" t="str">
        <x:v>Total revenue</x:v>
      </x:c>
      <x:c r="C7" s="149" t="n">
        <x:v>26914</x:v>
      </x:c>
      <x:c r="D7" s="149" t="n">
        <x:v>26974</x:v>
      </x:c>
      <x:c r="E7" s="149" t="n">
        <x:v>60922</x:v>
      </x:c>
      <x:c r="F7" s="149" t="n">
        <x:v>130497</x:v>
      </x:c>
      <x:c r="G7" s="149" t="n">
        <x:v>215938</x:v>
      </x:c>
      <x:c r="H7" s="90"/>
      <x:c r="I7" s="90"/>
      <x:c r="J7" s="90"/>
    </x:row>
    <x:row r="8" ht="21" hidden="0" customHeight="1">
      <x:c r="A8" s="90"/>
      <x:c r="B8" s="132" t="str">
        <x:v>   growth %</x:v>
      </x:c>
      <x:c r="C8" s="105"/>
      <x:c r="D8" s="201" t="n">
        <x:f aca="0">D7/C7-1</x:f>
        <x:v>0.002229323028906993</x:v>
      </x:c>
      <x:c r="E8" s="201" t="n">
        <x:f aca="0">E7/D7-1</x:f>
        <x:v>1.2585452658115224</x:v>
      </x:c>
      <x:c r="F8" s="201" t="n">
        <x:f aca="0">F7/E7-1</x:f>
        <x:v>1.1420340763599355</x:v>
      </x:c>
      <x:c r="G8" s="201" t="n">
        <x:f aca="0">G7/F7-1</x:f>
        <x:v>0.6547353579009478</x:v>
      </x:c>
      <x:c r="H8" s="90"/>
      <x:c r="I8" s="90"/>
      <x:c r="J8" s="90"/>
    </x:row>
    <x:row r="9" ht="21" hidden="0" customHeight="1">
      <x:c r="A9" s="90"/>
      <x:c r="B9" s="115" t="str">
        <x:v>Gross profit</x:v>
      </x:c>
      <x:c r="C9" s="149" t="n">
        <x:v>17475</x:v>
      </x:c>
      <x:c r="D9" s="149" t="n">
        <x:v>15356</x:v>
      </x:c>
      <x:c r="E9" s="149" t="n">
        <x:v>44301</x:v>
      </x:c>
      <x:c r="F9" s="149" t="n">
        <x:v>97858</x:v>
      </x:c>
      <x:c r="G9" s="149" t="n">
        <x:v>153463</x:v>
      </x:c>
      <x:c r="H9" s="90"/>
      <x:c r="I9" s="90"/>
      <x:c r="J9" s="90"/>
    </x:row>
    <x:row r="10" ht="21" hidden="0" customHeight="1">
      <x:c r="A10" s="90"/>
      <x:c r="B10" s="115" t="str">
        <x:v>Operating income (EBIT)</x:v>
      </x:c>
      <x:c r="C10" s="149" t="n">
        <x:v>10041</x:v>
      </x:c>
      <x:c r="D10" s="149" t="n">
        <x:v>4224</x:v>
      </x:c>
      <x:c r="E10" s="149" t="n">
        <x:v>32972</x:v>
      </x:c>
      <x:c r="F10" s="149" t="n">
        <x:v>81453</x:v>
      </x:c>
      <x:c r="G10" s="149" t="n">
        <x:v>130387</x:v>
      </x:c>
      <x:c r="H10" s="90"/>
      <x:c r="I10" s="90"/>
      <x:c r="J10" s="90"/>
    </x:row>
    <x:row r="11" ht="21" hidden="0" customHeight="1">
      <x:c r="A11" s="90"/>
      <x:c r="B11" s="132" t="str">
        <x:v>   operating margin %</x:v>
      </x:c>
      <x:c r="C11" s="201" t="n">
        <x:f aca="0">C10/C7</x:f>
        <x:v>0.3730772088875678</x:v>
      </x:c>
      <x:c r="D11" s="201" t="n">
        <x:f aca="0">D10/D7</x:f>
        <x:v>0.1565952398606065</x:v>
      </x:c>
      <x:c r="E11" s="201" t="n">
        <x:f aca="0">E10/E7</x:f>
        <x:v>0.5412166376678376</x:v>
      </x:c>
      <x:c r="F11" s="201" t="n">
        <x:f aca="0">F10/F7</x:f>
        <x:v>0.6241752683969747</x:v>
      </x:c>
      <x:c r="G11" s="201" t="n">
        <x:f aca="0">G10/G7</x:f>
        <x:v>0.6038168363141272</x:v>
      </x:c>
      <x:c r="H11" s="90"/>
      <x:c r="I11" s="90"/>
      <x:c r="J11" s="90"/>
    </x:row>
    <x:row r="12" ht="21" hidden="0" customHeight="1">
      <x:c r="A12" s="90"/>
      <x:c r="B12" s="115" t="str">
        <x:v>EBITDA</x:v>
      </x:c>
      <x:c r="C12" s="149" t="n">
        <x:f>C10+C13</x:f>
        <x:v>11215</x:v>
      </x:c>
      <x:c r="D12" s="149" t="n">
        <x:f>D10+D13</x:f>
        <x:v>5768</x:v>
      </x:c>
      <x:c r="E12" s="149" t="n">
        <x:f>E10+E13</x:f>
        <x:v>34480</x:v>
      </x:c>
      <x:c r="F12" s="149" t="n">
        <x:f>F10+F13</x:f>
        <x:v>83317</x:v>
      </x:c>
      <x:c r="G12" s="149" t="n">
        <x:f>G10+G13</x:f>
        <x:v>133230</x:v>
      </x:c>
      <x:c r="H12" s="90"/>
      <x:c r="I12" s="90"/>
      <x:c r="J12" s="90"/>
    </x:row>
    <x:row r="13" ht="21" hidden="0" customHeight="1">
      <x:c r="A13" s="90"/>
      <x:c r="B13" s="90" t="str">
        <x:v>Depreciation &amp; amortization</x:v>
      </x:c>
      <x:c r="C13" s="146" t="n">
        <x:v>1174</x:v>
      </x:c>
      <x:c r="D13" s="146" t="n">
        <x:v>1544</x:v>
      </x:c>
      <x:c r="E13" s="146" t="n">
        <x:v>1508</x:v>
      </x:c>
      <x:c r="F13" s="146" t="n">
        <x:v>1864</x:v>
      </x:c>
      <x:c r="G13" s="146" t="n">
        <x:v>2843</x:v>
      </x:c>
      <x:c r="H13" s="90"/>
      <x:c r="I13" s="90"/>
      <x:c r="J13" s="90"/>
    </x:row>
    <x:row r="14" ht="21" hidden="0" customHeight="1">
      <x:c r="A14" s="90"/>
      <x:c r="B14" s="90" t="str">
        <x:v>Stock-based compensation (memo)</x:v>
      </x:c>
      <x:c r="C14" s="146" t="n">
        <x:v>2004</x:v>
      </x:c>
      <x:c r="D14" s="146" t="n">
        <x:v>2709</x:v>
      </x:c>
      <x:c r="E14" s="146" t="n">
        <x:v>3549</x:v>
      </x:c>
      <x:c r="F14" s="146" t="n">
        <x:v>4737</x:v>
      </x:c>
      <x:c r="G14" s="146" t="n">
        <x:v>6386</x:v>
      </x:c>
      <x:c r="H14" s="90"/>
      <x:c r="I14" s="90"/>
      <x:c r="J14" s="90"/>
    </x:row>
    <x:row r="15" ht="21" hidden="0" customHeight="1">
      <x:c r="A15" s="90"/>
      <x:c r="B15" s="115" t="str">
        <x:v>Net income</x:v>
      </x:c>
      <x:c r="C15" s="149" t="n">
        <x:v>9752</x:v>
      </x:c>
      <x:c r="D15" s="149" t="n">
        <x:v>4368</x:v>
      </x:c>
      <x:c r="E15" s="149" t="n">
        <x:v>29760</x:v>
      </x:c>
      <x:c r="F15" s="149" t="n">
        <x:v>72880</x:v>
      </x:c>
      <x:c r="G15" s="149" t="n">
        <x:v>120067</x:v>
      </x:c>
      <x:c r="H15" s="90"/>
      <x:c r="I15" s="90"/>
      <x:c r="J15" s="90"/>
    </x:row>
    <x:row r="16" ht="21" hidden="0" customHeight="1">
      <x:c r="A16" s="90"/>
      <x:c r="B16" s="90" t="str">
        <x:v>Diluted EPS ($)</x:v>
      </x:c>
      <x:c r="C16" s="203" t="n">
        <x:v>0.39</x:v>
      </x:c>
      <x:c r="D16" s="203" t="n">
        <x:v>0.17</x:v>
      </x:c>
      <x:c r="E16" s="203" t="n">
        <x:v>1.19</x:v>
      </x:c>
      <x:c r="F16" s="203" t="n">
        <x:v>2.94</x:v>
      </x:c>
      <x:c r="G16" s="203" t="n">
        <x:v>4.9</x:v>
      </x:c>
      <x:c r="H16" s="90"/>
      <x:c r="I16" s="90"/>
      <x:c r="J16" s="90"/>
    </x:row>
    <x:row r="17" ht="21" hidden="0" customHeight="1">
      <x:c r="A17" s="90"/>
      <x:c r="B17" s="90" t="str">
        <x:v>Diluted shares (M)</x:v>
      </x:c>
      <x:c r="C17" s="146" t="n">
        <x:v>25350</x:v>
      </x:c>
      <x:c r="D17" s="146" t="n">
        <x:v>25070</x:v>
      </x:c>
      <x:c r="E17" s="146" t="n">
        <x:v>24940</x:v>
      </x:c>
      <x:c r="F17" s="146" t="n">
        <x:v>24804</x:v>
      </x:c>
      <x:c r="G17" s="146" t="n">
        <x:v>24514</x:v>
      </x:c>
      <x:c r="H17" s="90"/>
      <x:c r="I17" s="90"/>
      <x:c r="J17" s="90"/>
    </x:row>
    <x:row r="18" ht="21" hidden="0" customHeight="1">
      <x:c r="A18" s="90"/>
      <x:c r="B18" s="90"/>
      <x:c r="C18" s="102"/>
      <x:c r="D18" s="102"/>
      <x:c r="E18" s="102"/>
      <x:c r="F18" s="102"/>
      <x:c r="G18" s="102"/>
      <x:c r="H18" s="90"/>
      <x:c r="I18" s="90"/>
      <x:c r="J18" s="90"/>
    </x:row>
    <x:row r="19" ht="25" hidden="0" customHeight="1">
      <x:c r="A19" s="115"/>
      <x:c r="B19" s="110" t="str">
        <x:v>Cash flow — selected</x:v>
      </x:c>
      <x:c r="C19" s="261"/>
      <x:c r="D19" s="261"/>
      <x:c r="E19" s="261"/>
      <x:c r="F19" s="261"/>
      <x:c r="G19" s="261"/>
      <x:c r="H19" s="110"/>
      <x:c r="I19" s="110"/>
      <x:c r="J19" s="110"/>
    </x:row>
    <x:row r="20" ht="21" hidden="0" customHeight="1">
      <x:c r="A20" s="90"/>
      <x:c r="B20" s="90" t="str">
        <x:v>Operating cash flow</x:v>
      </x:c>
      <x:c r="C20" s="146" t="n">
        <x:v>9108</x:v>
      </x:c>
      <x:c r="D20" s="146" t="n">
        <x:v>5641</x:v>
      </x:c>
      <x:c r="E20" s="146" t="n">
        <x:v>28090</x:v>
      </x:c>
      <x:c r="F20" s="146" t="n">
        <x:v>64089</x:v>
      </x:c>
      <x:c r="G20" s="146" t="n">
        <x:v>102718</x:v>
      </x:c>
      <x:c r="H20" s="90"/>
      <x:c r="I20" s="90"/>
      <x:c r="J20" s="90"/>
    </x:row>
    <x:row r="21" ht="21" hidden="0" customHeight="1">
      <x:c r="A21" s="90"/>
      <x:c r="B21" s="90" t="str">
        <x:v>Capital purchases</x:v>
      </x:c>
      <x:c r="C21" s="146" t="n">
        <x:v>-976</x:v>
      </x:c>
      <x:c r="D21" s="146" t="n">
        <x:v>-1833</x:v>
      </x:c>
      <x:c r="E21" s="146" t="n">
        <x:v>-1069</x:v>
      </x:c>
      <x:c r="F21" s="146" t="n">
        <x:v>-3236</x:v>
      </x:c>
      <x:c r="G21" s="146" t="n">
        <x:v>-6042</x:v>
      </x:c>
      <x:c r="H21" s="90"/>
      <x:c r="I21" s="90"/>
      <x:c r="J21" s="90"/>
    </x:row>
    <x:row r="22" ht="21" hidden="0" customHeight="1">
      <x:c r="A22" s="90"/>
      <x:c r="B22" s="115" t="str">
        <x:v>Company FCF after capital payments</x:v>
      </x:c>
      <x:c r="C22" s="149" t="n">
        <x:f>C20+C21+C32</x:f>
        <x:v>8049</x:v>
      </x:c>
      <x:c r="D22" s="149" t="n">
        <x:f>D20+D21+D32</x:f>
        <x:v>3750</x:v>
      </x:c>
      <x:c r="E22" s="149" t="n">
        <x:f>E20+E21+E32</x:f>
        <x:v>26947</x:v>
      </x:c>
      <x:c r="F22" s="149" t="n">
        <x:f>F20+F21+F32</x:f>
        <x:v>60724</x:v>
      </x:c>
      <x:c r="G22" s="149" t="n">
        <x:f>G20+G21+G32</x:f>
        <x:v>96575</x:v>
      </x:c>
      <x:c r="H22" s="90"/>
      <x:c r="I22" s="90"/>
      <x:c r="J22" s="90"/>
    </x:row>
    <x:row r="23" ht="21" hidden="0" customHeight="1">
      <x:c r="A23" s="90"/>
      <x:c r="B23" s="90" t="str">
        <x:v>Common-stock repurchase cash</x:v>
      </x:c>
      <x:c r="C23" s="146" t="n">
        <x:v>0</x:v>
      </x:c>
      <x:c r="D23" s="146" t="n">
        <x:v>-10039</x:v>
      </x:c>
      <x:c r="E23" s="146" t="n">
        <x:v>-9533</x:v>
      </x:c>
      <x:c r="F23" s="146" t="n">
        <x:v>-33706</x:v>
      </x:c>
      <x:c r="G23" s="146" t="n">
        <x:v>-40086</x:v>
      </x:c>
      <x:c r="H23" s="90"/>
      <x:c r="I23" s="90"/>
      <x:c r="J23" s="90"/>
    </x:row>
    <x:row r="24" ht="21" hidden="0" customHeight="1">
      <x:c r="A24" s="90"/>
      <x:c r="B24" s="90" t="str">
        <x:v>Dividends paid</x:v>
      </x:c>
      <x:c r="C24" s="146" t="n">
        <x:v>-399</x:v>
      </x:c>
      <x:c r="D24" s="146" t="n">
        <x:v>-398</x:v>
      </x:c>
      <x:c r="E24" s="146" t="n">
        <x:v>-395</x:v>
      </x:c>
      <x:c r="F24" s="146" t="n">
        <x:v>-834</x:v>
      </x:c>
      <x:c r="G24" s="146" t="n">
        <x:v>-974</x:v>
      </x:c>
      <x:c r="H24" s="90"/>
      <x:c r="I24" s="90"/>
      <x:c r="J24" s="90"/>
    </x:row>
    <x:row r="25" ht="21" hidden="0" customHeight="1">
      <x:c r="A25" s="90"/>
      <x:c r="B25" s="90" t="str">
        <x:v>Employee tax withholding cash</x:v>
      </x:c>
      <x:c r="C25" s="102" t="n">
        <x:v>-1904</x:v>
      </x:c>
      <x:c r="D25" s="102" t="n">
        <x:v>-1475</x:v>
      </x:c>
      <x:c r="E25" s="102" t="n">
        <x:v>-2783</x:v>
      </x:c>
      <x:c r="F25" s="102" t="n">
        <x:v>-6930</x:v>
      </x:c>
      <x:c r="G25" s="102" t="n">
        <x:v>-7948</x:v>
      </x:c>
      <x:c r="H25" s="90"/>
      <x:c r="I25" s="90"/>
      <x:c r="J25" s="90"/>
    </x:row>
    <x:row r="26" ht="25" hidden="0" customHeight="1">
      <x:c r="A26" s="115"/>
      <x:c r="B26" s="110" t="str">
        <x:v>FY2026 reported balance reference</x:v>
      </x:c>
      <x:c r="C26" s="110"/>
      <x:c r="D26" s="110"/>
      <x:c r="E26" s="110"/>
      <x:c r="F26" s="110"/>
      <x:c r="G26" s="110"/>
      <x:c r="H26" s="110"/>
      <x:c r="I26" s="110"/>
      <x:c r="J26" s="110"/>
    </x:row>
    <x:row r="27" ht="21" hidden="0" customHeight="1">
      <x:c r="A27" s="90"/>
      <x:c r="B27" s="90" t="str">
        <x:v>Cash + marketable debt securities</x:v>
      </x:c>
      <x:c r="C27" s="146" t="n">
        <x:v>49670</x:v>
      </x:c>
      <x:c r="D27" s="90"/>
      <x:c r="E27" s="90"/>
      <x:c r="F27" s="90"/>
      <x:c r="G27" s="90"/>
      <x:c r="H27" s="90"/>
      <x:c r="I27" s="90"/>
      <x:c r="J27" s="90"/>
    </x:row>
    <x:row r="28" ht="21" hidden="0" customHeight="1">
      <x:c r="A28" s="90"/>
      <x:c r="B28" s="90" t="str">
        <x:v>Total assets</x:v>
      </x:c>
      <x:c r="C28" s="136" t="n">
        <x:v>206803</x:v>
      </x:c>
      <x:c r="D28" s="90"/>
      <x:c r="E28" s="90"/>
      <x:c r="F28" s="90"/>
      <x:c r="G28" s="90"/>
      <x:c r="H28" s="90"/>
      <x:c r="I28" s="90"/>
      <x:c r="J28" s="90"/>
    </x:row>
    <x:row r="29" ht="21" hidden="0" customHeight="1">
      <x:c r="A29" s="90"/>
      <x:c r="B29" s="90" t="str">
        <x:v>Funded debt: carrying amount</x:v>
      </x:c>
      <x:c r="C29" s="146" t="n">
        <x:v>8468</x:v>
      </x:c>
      <x:c r="D29" s="90"/>
      <x:c r="E29" s="90"/>
      <x:c r="F29" s="90"/>
      <x:c r="G29" s="90"/>
      <x:c r="H29" s="90"/>
      <x:c r="I29" s="90"/>
      <x:c r="J29" s="90"/>
    </x:row>
    <x:row r="30" ht="21" hidden="0" customHeight="1">
      <x:c r="A30" s="90"/>
      <x:c r="B30" s="90" t="str">
        <x:v>Total equity</x:v>
      </x:c>
      <x:c r="C30" s="136" t="n">
        <x:v>157293</x:v>
      </x:c>
      <x:c r="D30" s="90"/>
      <x:c r="E30" s="90"/>
      <x:c r="F30" s="90"/>
      <x:c r="G30" s="90"/>
      <x:c r="H30" s="90"/>
      <x:c r="I30" s="90"/>
      <x:c r="J30" s="90"/>
    </x:row>
    <x:row r="31" ht="21" hidden="0" customHeight="1">
      <x:c r="A31" s="90"/>
      <x:c r="B31" s="90"/>
      <x:c r="C31" s="90"/>
      <x:c r="D31" s="90"/>
      <x:c r="E31" s="90"/>
      <x:c r="F31" s="90"/>
      <x:c r="G31" s="90"/>
      <x:c r="H31" s="90"/>
      <x:c r="I31" s="90"/>
      <x:c r="J31" s="90"/>
    </x:row>
    <x:row r="32" ht="21" hidden="0" customHeight="1">
      <x:c r="A32" s="90"/>
      <x:c r="B32" s="90" t="str">
        <x:v>Capital principal payments (FCF deduction)</x:v>
      </x:c>
      <x:c r="C32" s="102" t="n">
        <x:v>-83</x:v>
      </x:c>
      <x:c r="D32" s="102" t="n">
        <x:v>-58</x:v>
      </x:c>
      <x:c r="E32" s="102" t="n">
        <x:v>-74</x:v>
      </x:c>
      <x:c r="F32" s="102" t="n">
        <x:v>-129</x:v>
      </x:c>
      <x:c r="G32" s="102" t="n">
        <x:v>-101</x:v>
      </x:c>
      <x:c r="H32" s="90"/>
      <x:c r="I32" s="90"/>
      <x:c r="J32" s="90"/>
    </x:row>
    <x:row r="33" ht="21" hidden="0" customHeight="1">
      <x:c r="A33" s="90"/>
      <x:c r="B33" s="90"/>
      <x:c r="C33" s="90"/>
      <x:c r="D33" s="90"/>
      <x:c r="E33" s="90"/>
      <x:c r="F33" s="90"/>
      <x:c r="G33" s="90"/>
      <x:c r="H33" s="90"/>
      <x:c r="I33" s="90"/>
      <x:c r="J33" s="90"/>
    </x:row>
    <x:row r="34" ht="21" hidden="0" customHeight="1">
      <x:c r="A34" s="90"/>
      <x:c r="B34" s="111" t="str">
        <x:v>GAAP operating income includes costs that adjusted vendor metrics may exclude. EBITDA is calculated as GAAP EBIT plus reported D&amp;A. FY2026 liquid assets exclude marketable equity securities, which are valued separately in the current capital bridge.</x:v>
      </x:c>
      <x:c r="C34" s="111"/>
      <x:c r="D34" s="111"/>
      <x:c r="E34" s="111"/>
      <x:c r="F34" s="111"/>
      <x:c r="G34" s="111"/>
      <x:c r="H34" s="111"/>
      <x:c r="I34" s="111"/>
      <x:c r="J34" s="111"/>
    </x:row>
    <x:row r="35" ht="21" hidden="0" customHeight="1">
      <x:c r="A35" s="90"/>
      <x:c r="B35" s="111"/>
      <x:c r="C35" s="111"/>
      <x:c r="D35" s="111"/>
      <x:c r="E35" s="111"/>
      <x:c r="F35" s="111"/>
      <x:c r="G35" s="111"/>
      <x:c r="H35" s="111"/>
      <x:c r="I35" s="111"/>
      <x:c r="J35" s="111"/>
    </x:row>
    <x:row r="36" ht="21" hidden="0" customHeight="1">
      <x:c r="A36" s="90"/>
      <x:c r="B36" s="111"/>
      <x:c r="C36" s="111"/>
      <x:c r="D36" s="111"/>
      <x:c r="E36" s="111"/>
      <x:c r="F36" s="111"/>
      <x:c r="G36" s="111"/>
      <x:c r="H36" s="111"/>
      <x:c r="I36" s="111"/>
      <x:c r="J36" s="111"/>
    </x:row>
    <x:row r="37" ht="21" hidden="0" customHeight="1">
      <x:c r="A37" s="90"/>
      <x:c r="B37" s="90"/>
      <x:c r="C37" s="90"/>
      <x:c r="D37" s="90"/>
      <x:c r="E37" s="90"/>
      <x:c r="F37" s="90"/>
      <x:c r="G37" s="90"/>
      <x:c r="H37" s="90"/>
      <x:c r="I37" s="90"/>
      <x:c r="J37" s="90"/>
    </x:row>
    <x:row r="38" ht="21" hidden="0" customHeight="1">
      <x:c r="A38" s="90"/>
      <x:c r="B38" s="90"/>
      <x:c r="C38" s="90"/>
      <x:c r="D38" s="90"/>
      <x:c r="E38" s="90"/>
      <x:c r="F38" s="90"/>
      <x:c r="G38" s="90"/>
      <x:c r="H38" s="90"/>
      <x:c r="I38" s="90"/>
      <x:c r="J38" s="90"/>
    </x:row>
    <x:row r="39" ht="21" hidden="0" customHeight="1">
      <x:c r="A39" s="90"/>
      <x:c r="B39" s="90"/>
      <x:c r="C39" s="90"/>
      <x:c r="D39" s="90"/>
      <x:c r="E39" s="90"/>
      <x:c r="F39" s="90"/>
      <x:c r="G39" s="90"/>
      <x:c r="H39" s="90"/>
      <x:c r="I39" s="90"/>
      <x:c r="J39" s="90"/>
    </x:row>
    <x:row r="40" ht="21" hidden="0" customHeight="1">
      <x:c r="A40" s="90"/>
      <x:c r="B40" s="90"/>
      <x:c r="C40" s="90"/>
      <x:c r="D40" s="90"/>
      <x:c r="E40" s="90"/>
      <x:c r="F40" s="90"/>
      <x:c r="G40" s="90"/>
      <x:c r="H40" s="90"/>
      <x:c r="I40" s="90"/>
      <x:c r="J40" s="90"/>
    </x:row>
    <x:row r="41" ht="21" hidden="0" customHeight="1">
      <x:c r="A41" s="90"/>
      <x:c r="B41" s="90"/>
      <x:c r="C41" s="90"/>
      <x:c r="D41" s="90"/>
      <x:c r="E41" s="90"/>
      <x:c r="F41" s="90"/>
      <x:c r="G41" s="90"/>
      <x:c r="H41" s="90"/>
      <x:c r="I41" s="90"/>
      <x:c r="J41" s="90"/>
    </x:row>
    <x:row r="42" ht="21" hidden="0" customHeight="1">
      <x:c r="A42" s="90"/>
      <x:c r="B42" s="90"/>
      <x:c r="C42" s="90"/>
      <x:c r="D42" s="90"/>
      <x:c r="E42" s="90"/>
      <x:c r="F42" s="90"/>
      <x:c r="G42" s="90"/>
      <x:c r="H42" s="90"/>
      <x:c r="I42" s="90"/>
      <x:c r="J42" s="90"/>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90"/>
      <x:c r="C45" s="90"/>
      <x:c r="D45" s="90"/>
      <x:c r="E45" s="90"/>
      <x:c r="F45" s="90"/>
      <x:c r="G45" s="90"/>
      <x:c r="H45" s="90"/>
      <x:c r="I45" s="90"/>
      <x:c r="J45" s="90"/>
    </x:row>
    <x:row r="46" ht="21" hidden="0" customHeight="1">
      <x:c r="A46" s="90"/>
      <x:c r="B46" s="90"/>
      <x:c r="C46" s="90"/>
      <x:c r="D46" s="90"/>
      <x:c r="E46" s="90"/>
      <x:c r="F46" s="90"/>
      <x:c r="G46" s="90"/>
      <x:c r="H46" s="90"/>
      <x:c r="I46" s="90"/>
      <x:c r="J46" s="90"/>
    </x:row>
    <x:row r="47" ht="21" hidden="0" customHeight="1">
      <x:c r="A47" s="90"/>
      <x:c r="B47" s="90"/>
      <x:c r="C47" s="90"/>
      <x:c r="D47" s="90"/>
      <x:c r="E47" s="90"/>
      <x:c r="F47" s="90"/>
      <x:c r="G47" s="90"/>
      <x:c r="H47" s="90"/>
      <x:c r="I47" s="90"/>
      <x:c r="J47" s="90"/>
    </x:row>
    <x:row r="48" ht="15" hidden="0">
      <x:c r="A48" s="2"/>
      <x:c r="B48" s="2"/>
      <x:c r="C48" s="2"/>
      <x:c r="D48" s="2"/>
      <x:c r="E48" s="2"/>
      <x:c r="F48" s="2"/>
      <x:c r="G48" s="2"/>
      <x:c r="H48" s="2"/>
      <x:c r="I48" s="2"/>
      <x:c r="J48" s="2"/>
    </x:row>
    <x:row r="49" ht="15" hidden="0">
      <x:c r="A49" s="2"/>
      <x:c r="B49" s="2"/>
      <x:c r="C49" s="2"/>
      <x:c r="D49" s="2"/>
      <x:c r="E49" s="2"/>
      <x:c r="F49" s="2"/>
      <x:c r="G49" s="2"/>
      <x:c r="H49" s="2"/>
      <x:c r="I49" s="2"/>
      <x:c r="J49" s="2"/>
    </x:row>
    <x:row r="50" ht="15" hidden="0">
      <x:c r="A50" s="2"/>
      <x:c r="B50" s="2"/>
      <x:c r="C50" s="2"/>
      <x:c r="D50" s="2"/>
      <x:c r="E50" s="2"/>
      <x:c r="F50" s="2"/>
      <x:c r="G50" s="2"/>
      <x:c r="H50" s="2"/>
      <x:c r="I50" s="2"/>
      <x:c r="J50" s="2"/>
    </x:row>
    <x:row r="51" ht="15" hidden="0">
      <x:c r="A51" s="2"/>
      <x:c r="B51" s="2"/>
      <x:c r="C51" s="2"/>
      <x:c r="D51" s="2"/>
      <x:c r="E51" s="2"/>
      <x:c r="F51" s="2"/>
      <x:c r="G51" s="2"/>
      <x:c r="H51" s="2"/>
      <x:c r="I51" s="2"/>
      <x:c r="J51" s="2"/>
    </x:row>
    <x:row r="52" ht="15" hidden="0">
      <x:c r="A52" s="2"/>
      <x:c r="B52" s="2"/>
      <x:c r="C52" s="2"/>
      <x:c r="D52" s="2"/>
      <x:c r="E52" s="2"/>
      <x:c r="F52" s="2"/>
      <x:c r="G52" s="2"/>
      <x:c r="H52" s="2"/>
      <x:c r="I52" s="2"/>
      <x:c r="J52" s="2"/>
    </x:row>
    <x:row r="53" ht="15" hidden="0">
      <x:c r="A53" s="2"/>
      <x:c r="B53" s="2"/>
      <x:c r="C53" s="2"/>
      <x:c r="D53" s="2"/>
      <x:c r="E53" s="2"/>
      <x:c r="F53" s="2"/>
      <x:c r="G53" s="2"/>
      <x:c r="H53" s="2"/>
      <x:c r="I53" s="2"/>
      <x:c r="J53" s="2"/>
    </x:row>
    <x:row r="54" ht="15" hidden="0">
      <x:c r="A54" s="2"/>
      <x:c r="B54" s="2"/>
      <x:c r="C54" s="2"/>
      <x:c r="D54" s="2"/>
      <x:c r="E54" s="2"/>
      <x:c r="F54" s="2"/>
      <x:c r="G54" s="2"/>
      <x:c r="H54" s="2"/>
      <x:c r="I54" s="2"/>
      <x:c r="J54" s="2"/>
    </x:row>
    <x:row r="55" ht="15" hidden="0">
      <x:c r="A55" s="2"/>
      <x:c r="B55" s="2"/>
      <x:c r="C55" s="2"/>
      <x:c r="D55" s="2"/>
      <x:c r="E55" s="2"/>
      <x:c r="F55" s="2"/>
      <x:c r="G55" s="2"/>
      <x:c r="H55" s="2"/>
      <x:c r="I55" s="2"/>
      <x:c r="J55" s="2"/>
    </x:row>
  </x:sheetData>
  <x:mergeCells>
    <x:mergeCell ref="A1:J1"/>
    <x:mergeCell ref="A2:J3"/>
    <x:mergeCell ref="B4:J4"/>
    <x:mergeCell ref="B19:J19"/>
    <x:mergeCell ref="B26:J26"/>
    <x:mergeCell ref="B34:J36"/>
  </x:mergeCells>
  <x:pageMargins left="0.7" right="0.7" top="0.75" bottom="0.75" header="0.3" footer="0.3"/>
</x:worksheet>
</file>

<file path=xl/worksheets/sheet5.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4"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OPERATING FORECAST</x:v>
      </x:c>
      <x:c r="B1" s="142"/>
      <x:c r="C1" s="142"/>
      <x:c r="D1" s="142"/>
      <x:c r="E1" s="142"/>
      <x:c r="F1" s="142"/>
      <x:c r="G1" s="142"/>
      <x:c r="H1" s="142"/>
      <x:c r="I1" s="92"/>
      <x:c r="J1" s="92"/>
    </x:row>
    <x:row r="2" ht="21" hidden="0" customHeight="1">
      <x:c r="A2" s="144" t="str">
        <x:v>First column is H2 FY2027. Later columns are full fiscal years. A cash and debt schedule supports valuation; this is not a projected GAAP balance sheet.</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90"/>
      <x:c r="J4" s="90"/>
    </x:row>
    <x:row r="5" ht="21" hidden="0" customHeight="1">
      <x:c r="A5" s="90"/>
      <x:c r="B5" s="115"/>
      <x:c r="C5" s="118" t="str">
        <x:v>H2 FY2027E</x:v>
      </x:c>
      <x:c r="D5" s="118" t="str">
        <x:v>FY2028E</x:v>
      </x:c>
      <x:c r="E5" s="118" t="str">
        <x:v>FY2029E</x:v>
      </x:c>
      <x:c r="F5" s="118" t="str">
        <x:v>FY2030E</x:v>
      </x:c>
      <x:c r="G5" s="118" t="str">
        <x:v>FY2031E</x:v>
      </x:c>
      <x:c r="H5" s="90"/>
      <x:c r="I5" s="90"/>
      <x:c r="J5" s="90"/>
    </x:row>
    <x:row r="6" ht="21" hidden="0" customHeight="1">
      <x:c r="A6" s="90"/>
      <x:c r="B6" s="90" t="str">
        <x:v>Period end</x:v>
      </x:c>
      <x:c r="C6" s="194" t="n">
        <x:v>46418</x:v>
      </x:c>
      <x:c r="D6" s="194" t="n">
        <x:v>46782</x:v>
      </x:c>
      <x:c r="E6" s="194" t="n">
        <x:v>47146</x:v>
      </x:c>
      <x:c r="F6" s="194" t="n">
        <x:v>47510</x:v>
      </x:c>
      <x:c r="G6" s="194" t="n">
        <x:v>47874</x:v>
      </x:c>
      <x:c r="H6" s="90"/>
      <x:c r="I6" s="90"/>
      <x:c r="J6" s="90"/>
    </x:row>
    <x:row r="7" ht="21" hidden="0" customHeight="1">
      <x:c r="A7" s="90"/>
      <x:c r="B7" s="90" t="str">
        <x:v>Period length: years</x:v>
      </x:c>
      <x:c r="C7" s="196" t="n">
        <x:f aca="0">(C6-'Source Inputs'!$C$6)/365</x:f>
        <x:v>0.5178082191780822</x:v>
      </x:c>
      <x:c r="D7" s="195" t="n">
        <x:f aca="0">(D6-C6)/365</x:f>
        <x:v>0.9972602739726028</x:v>
      </x:c>
      <x:c r="E7" s="195" t="n">
        <x:f aca="0">(E6-D6)/365</x:f>
        <x:v>0.9972602739726028</x:v>
      </x:c>
      <x:c r="F7" s="195" t="n">
        <x:f aca="0">(F6-E6)/365</x:f>
        <x:v>0.9972602739726028</x:v>
      </x:c>
      <x:c r="G7" s="195" t="n">
        <x:f aca="0">(G6-F6)/365</x:f>
        <x:v>0.9972602739726028</x:v>
      </x:c>
      <x:c r="H7" s="90"/>
      <x:c r="I7" s="90"/>
      <x:c r="J7" s="90"/>
    </x:row>
    <x:row r="8" ht="21" hidden="0" customHeight="1">
      <x:c r="A8" s="90"/>
      <x:c r="B8" s="90"/>
      <x:c r="C8" s="136">
        <x:f aca="0"/>
      </x:c>
      <x:c r="D8" s="136">
        <x:f aca="0"/>
      </x:c>
      <x:c r="E8" s="136">
        <x:f aca="0"/>
      </x:c>
      <x:c r="F8" s="136">
        <x:f aca="0"/>
      </x:c>
      <x:c r="G8" s="136">
        <x:f aca="0"/>
      </x:c>
      <x:c r="H8" s="90"/>
      <x:c r="I8" s="90"/>
      <x:c r="J8" s="90"/>
    </x:row>
    <x:row r="9" ht="21" hidden="0" customHeight="1">
      <x:c r="A9" s="90"/>
      <x:c r="B9" s="90" t="str">
        <x:v>Full-year revenue</x:v>
      </x:c>
      <x:c r="C9" s="197" t="n">
        <x:f aca="0">'Source Inputs'!$C$19+('Assumptions'!C46-'Source Inputs'!$C$19)*'Assumptions'!$F$10</x:f>
        <x:v>411313.93</x:v>
      </x:c>
      <x:c r="D9" s="197" t="n">
        <x:f aca="0">'Assumptions'!D46*'Assumptions'!$F$10</x:f>
        <x:v>677828.23</x:v>
      </x:c>
      <x:c r="E9" s="197" t="n">
        <x:f aca="0">'Assumptions'!E46*'Assumptions'!$F$10</x:f>
        <x:v>882069.93</x:v>
      </x:c>
      <x:c r="F9" s="197" t="n">
        <x:f aca="0">'Assumptions'!F46*'Assumptions'!$F$10</x:f>
        <x:v>1010020.04</x:v>
      </x:c>
      <x:c r="G9" s="197" t="n">
        <x:f aca="0">'Assumptions'!G46*'Assumptions'!$F$10</x:f>
        <x:v>1206974.36</x:v>
      </x:c>
      <x:c r="H9" s="90"/>
      <x:c r="I9" s="90"/>
      <x:c r="J9" s="90"/>
    </x:row>
    <x:row r="10" ht="21" hidden="0" customHeight="1">
      <x:c r="A10" s="90"/>
      <x:c r="B10" s="90" t="str">
        <x:v>Revenue in forecast period</x:v>
      </x:c>
      <x:c r="C10" s="197" t="n">
        <x:f aca="0">C9-'Source Inputs'!$C$19</x:f>
        <x:v>233476.93</x:v>
      </x:c>
      <x:c r="D10" s="146" t="n">
        <x:f aca="0">D9</x:f>
        <x:v>677828.23</x:v>
      </x:c>
      <x:c r="E10" s="146" t="n">
        <x:f aca="0">E9</x:f>
        <x:v>882069.93</x:v>
      </x:c>
      <x:c r="F10" s="146" t="n">
        <x:f aca="0">F9</x:f>
        <x:v>1010020.04</x:v>
      </x:c>
      <x:c r="G10" s="146" t="n">
        <x:f aca="0">G9</x:f>
        <x:v>1206974.36</x:v>
      </x:c>
      <x:c r="H10" s="90"/>
      <x:c r="I10" s="90"/>
      <x:c r="J10" s="90"/>
    </x:row>
    <x:row r="11" ht="21" hidden="0" customHeight="1">
      <x:c r="A11" s="90"/>
      <x:c r="B11" s="90" t="str">
        <x:v>Full-year revenue growth</x:v>
      </x:c>
      <x:c r="C11" s="198" t="n">
        <x:f aca="0">C9/'Historical Financials'!G7-1</x:f>
        <x:v>0.9047778992118107</x:v>
      </x:c>
      <x:c r="D11" s="150" t="n">
        <x:f aca="0">D9/C9-1</x:f>
        <x:v>0.6479583611476518</x:v>
      </x:c>
      <x:c r="E11" s="150" t="n">
        <x:f aca="0">E9/D9-1</x:f>
        <x:v>0.3013177837104839</x:v>
      </x:c>
      <x:c r="F11" s="150" t="n">
        <x:f aca="0">F9/E9-1</x:f>
        <x:v>0.14505665100725063</x:v>
      </x:c>
      <x:c r="G11" s="150" t="n">
        <x:f aca="0">G9/F9-1</x:f>
        <x:v>0.1950004081107144</x:v>
      </x:c>
      <x:c r="H11" s="90"/>
      <x:c r="I11" s="90"/>
      <x:c r="J11" s="90"/>
    </x:row>
    <x:row r="12" ht="21" hidden="0" customHeight="1">
      <x:c r="A12" s="90"/>
      <x:c r="B12" s="90" t="str">
        <x:v>Operating earnings before SBC</x:v>
      </x:c>
      <x:c r="C12" s="199" t="n">
        <x:f>C9*'Assumptions'!$F$11-'Source Inputs'!$C$20-'Source Inputs'!$C$22</x:f>
        <x:v>162582.61169999995</x:v>
      </x:c>
      <x:c r="D12" s="199" t="n">
        <x:f>D9*'Assumptions'!$F$11</x:f>
        <x:v>467701.4787</x:v>
      </x:c>
      <x:c r="E12" s="199" t="n">
        <x:f>E9*'Assumptions'!$F$11</x:f>
        <x:v>608628.2517</x:v>
      </x:c>
      <x:c r="F12" s="199" t="n">
        <x:f>F9*'Assumptions'!$F$11</x:f>
        <x:v>696913.8276</x:v>
      </x:c>
      <x:c r="G12" s="199" t="n">
        <x:f>G9*'Assumptions'!$F$11</x:f>
        <x:v>832812.3084</x:v>
      </x:c>
      <x:c r="H12" s="90"/>
      <x:c r="I12" s="90"/>
      <x:c r="J12" s="90"/>
    </x:row>
    <x:row r="13" ht="21" hidden="0" customHeight="1">
      <x:c r="A13" s="115"/>
      <x:c r="B13" s="115" t="str">
        <x:v>Stock-based compensation</x:v>
      </x:c>
      <x:c r="C13" s="200" t="n">
        <x:f>-MAX(0,C9*'Assumptions'!$F$13-'Source Inputs'!$C$22)</x:f>
        <x:v>-8385.417899999999</x:v>
      </x:c>
      <x:c r="D13" s="200" t="n">
        <x:f>-MAX(0,D9*'Assumptions'!$F$13)</x:f>
        <x:v>-20334.8469</x:v>
      </x:c>
      <x:c r="E13" s="200" t="n">
        <x:f>-MAX(0,E9*'Assumptions'!$F$13)</x:f>
        <x:v>-26462.0979</x:v>
      </x:c>
      <x:c r="F13" s="200" t="n">
        <x:f>-MAX(0,F9*'Assumptions'!$F$13)</x:f>
        <x:v>-30300.6012</x:v>
      </x:c>
      <x:c r="G13" s="200" t="n">
        <x:f>-MAX(0,G9*'Assumptions'!$F$13)</x:f>
        <x:v>-36209.230800000005</x:v>
      </x:c>
      <x:c r="H13" s="115"/>
      <x:c r="I13" s="90"/>
      <x:c r="J13" s="90"/>
    </x:row>
    <x:row r="14" ht="21" hidden="0" customHeight="1">
      <x:c r="A14" s="90"/>
      <x:c r="B14" s="204" t="str">
        <x:v>Operating income after SBC</x:v>
      </x:c>
      <x:c r="C14" s="205" t="n">
        <x:f aca="0">SUM(C12:C13)</x:f>
        <x:v>154197.19379999995</x:v>
      </x:c>
      <x:c r="D14" s="205" t="n">
        <x:f aca="0">SUM(D12:D13)</x:f>
        <x:v>447366.6318</x:v>
      </x:c>
      <x:c r="E14" s="205" t="n">
        <x:f aca="0">SUM(E12:E13)</x:f>
        <x:v>582166.1538</x:v>
      </x:c>
      <x:c r="F14" s="205" t="n">
        <x:f aca="0">SUM(F12:F13)</x:f>
        <x:v>666613.2263999999</x:v>
      </x:c>
      <x:c r="G14" s="205" t="n">
        <x:f aca="0">SUM(G12:G13)</x:f>
        <x:v>796603.0776</x:v>
      </x:c>
      <x:c r="H14" s="90"/>
      <x:c r="I14" s="90"/>
      <x:c r="J14" s="90"/>
    </x:row>
    <x:row r="15" ht="21" hidden="0" customHeight="1">
      <x:c r="A15" s="90"/>
      <x:c r="B15" s="132" t="str">
        <x:v>Operating margin in period</x:v>
      </x:c>
      <x:c r="C15" s="201" t="n">
        <x:f aca="0">C14/C10</x:f>
        <x:v>0.6604386728915784</x:v>
      </x:c>
      <x:c r="D15" s="201" t="n">
        <x:f aca="0">D14/D10</x:f>
        <x:v>0.66</x:v>
      </x:c>
      <x:c r="E15" s="201" t="n">
        <x:f aca="0">E14/E10</x:f>
        <x:v>0.6599999999999999</x:v>
      </x:c>
      <x:c r="F15" s="201" t="n">
        <x:f aca="0">F14/F10</x:f>
        <x:v>0.6599999999999999</x:v>
      </x:c>
      <x:c r="G15" s="201" t="n">
        <x:f aca="0">G14/G10</x:f>
        <x:v>0.6599999999999999</x:v>
      </x:c>
      <x:c r="H15" s="90"/>
      <x:c r="I15" s="90"/>
      <x:c r="J15" s="90"/>
    </x:row>
    <x:row r="16" ht="21" hidden="0" customHeight="1">
      <x:c r="A16" s="90"/>
      <x:c r="B16" s="115" t="str">
        <x:v>Depreciation &amp; amortization</x:v>
      </x:c>
      <x:c r="C16" s="202" t="n">
        <x:f aca="0">MAX(0,'Assumptions'!C48-'Source Inputs'!$C$21)*'Assumptions'!$F$10</x:f>
        <x:v>2286.9300000000003</x:v>
      </x:c>
      <x:c r="D16" s="202" t="n">
        <x:f aca="0">'Assumptions'!D48*'Assumptions'!$F$10</x:f>
        <x:v>5797.31</x:v>
      </x:c>
      <x:c r="E16" s="202" t="n">
        <x:f aca="0">'Assumptions'!E48*'Assumptions'!$F$10</x:f>
        <x:v>6997.06</x:v>
      </x:c>
      <x:c r="F16" s="202" t="n">
        <x:f aca="0">'Assumptions'!F48*'Assumptions'!$F$10</x:f>
        <x:v>14400.94</x:v>
      </x:c>
      <x:c r="G16" s="202" t="n">
        <x:f aca="0">'Assumptions'!G48*'Assumptions'!$F$10</x:f>
        <x:v>18321.57</x:v>
      </x:c>
      <x:c r="H16" s="90"/>
      <x:c r="I16" s="90"/>
      <x:c r="J16" s="90"/>
    </x:row>
    <x:row r="17" ht="21" hidden="0" customHeight="1">
      <x:c r="A17" s="90"/>
      <x:c r="B17" s="204" t="str">
        <x:v>EBITDA after SBC</x:v>
      </x:c>
      <x:c r="C17" s="205" t="n">
        <x:f aca="0">C14+C16</x:f>
        <x:v>156484.12379999994</x:v>
      </x:c>
      <x:c r="D17" s="205" t="n">
        <x:f aca="0">D14+D16</x:f>
        <x:v>453163.9418</x:v>
      </x:c>
      <x:c r="E17" s="205" t="n">
        <x:f aca="0">E14+E16</x:f>
        <x:v>589163.2138</x:v>
      </x:c>
      <x:c r="F17" s="205" t="n">
        <x:f aca="0">F14+F16</x:f>
        <x:v>681014.1663999999</x:v>
      </x:c>
      <x:c r="G17" s="205" t="n">
        <x:f aca="0">G14+G16</x:f>
        <x:v>814924.6475999999</x:v>
      </x:c>
      <x:c r="H17" s="90"/>
      <x:c r="I17" s="90"/>
      <x:c r="J17" s="90"/>
    </x:row>
    <x:row r="18" ht="21" hidden="0" customHeight="1">
      <x:c r="A18" s="90"/>
      <x:c r="B18" s="115"/>
      <x:c r="C18" s="125">
        <x:f aca="0"/>
      </x:c>
      <x:c r="D18" s="125">
        <x:f aca="0"/>
      </x:c>
      <x:c r="E18" s="125">
        <x:f aca="0"/>
      </x:c>
      <x:c r="F18" s="125">
        <x:f aca="0"/>
      </x:c>
      <x:c r="G18" s="125">
        <x:f aca="0"/>
      </x:c>
      <x:c r="H18" s="90"/>
      <x:c r="I18" s="90"/>
      <x:c r="J18" s="90"/>
    </x:row>
    <x:row r="19" ht="21" hidden="0" customHeight="1">
      <x:c r="A19" s="90"/>
      <x:c r="B19" s="90" t="str">
        <x:v>Opening liquid cash</x:v>
      </x:c>
      <x:c r="C19" s="197" t="n">
        <x:f aca="0">'Source Inputs'!$C$39+'Source Inputs'!$C$18</x:f>
        <x:v>56586</x:v>
      </x:c>
      <x:c r="D19" s="146" t="n">
        <x:f aca="0">C40</x:f>
        <x:v>112559.58704806845</x:v>
      </x:c>
      <x:c r="E19" s="146" t="n">
        <x:f aca="0">D40</x:f>
        <x:v>348862.35386637785</x:v>
      </x:c>
      <x:c r="F19" s="146" t="n">
        <x:f aca="0">E40</x:f>
        <x:v>733402.7735739156</x:v>
      </x:c>
      <x:c r="G19" s="146" t="n">
        <x:f aca="0">F40</x:f>
        <x:v>1213304.1621455564</x:v>
      </x:c>
      <x:c r="H19" s="90"/>
      <x:c r="I19" s="90"/>
      <x:c r="J19" s="90"/>
    </x:row>
    <x:row r="20" ht="21" hidden="0" customHeight="1">
      <x:c r="A20" s="90"/>
      <x:c r="B20" s="90" t="str">
        <x:v>Interest income</x:v>
      </x:c>
      <x:c r="C20" s="197" t="n">
        <x:f aca="0">C19*'Assumptions'!$C$28*C7</x:f>
        <x:v>1025.5243561643836</x:v>
      </x:c>
      <x:c r="D20" s="197" t="n">
        <x:f aca="0">D19*'Assumptions'!$C$28*D7</x:f>
        <x:v>3928.792161622993</x:v>
      </x:c>
      <x:c r="E20" s="197" t="n">
        <x:f aca="0">E19*'Assumptions'!$C$28*E7</x:f>
        <x:v>12176.729830842887</x:v>
      </x:c>
      <x:c r="F20" s="197" t="n">
        <x:f aca="0">F19*'Assumptions'!$C$28*F7</x:f>
        <x:v>25598.770781730644</x:v>
      </x:c>
      <x:c r="G20" s="197" t="n">
        <x:f aca="0">G19*'Assumptions'!$C$28*G7</x:f>
        <x:v>42349.301440368195</x:v>
      </x:c>
      <x:c r="H20" s="90"/>
      <x:c r="I20" s="90"/>
      <x:c r="J20" s="90"/>
    </x:row>
    <x:row r="21" ht="21" hidden="0" customHeight="1">
      <x:c r="A21" s="90"/>
      <x:c r="B21" s="90" t="str">
        <x:v>Interest expense</x:v>
      </x:c>
      <x:c r="C21" s="197" t="n">
        <x:f aca="0">-C42*'Assumptions'!$C$27*C7</x:f>
        <x:v>-867.3287671232877</x:v>
      </x:c>
      <x:c r="D21" s="197" t="n">
        <x:f aca="0">-D42*'Assumptions'!$C$27*D7</x:f>
        <x:v>-1670.4109589041095</x:v>
      </x:c>
      <x:c r="E21" s="197" t="n">
        <x:f aca="0">-E42*'Assumptions'!$C$27*E7</x:f>
        <x:v>-1670.4109589041095</x:v>
      </x:c>
      <x:c r="F21" s="197" t="n">
        <x:f aca="0">-F42*'Assumptions'!$C$27*F7</x:f>
        <x:v>-1670.4109589041095</x:v>
      </x:c>
      <x:c r="G21" s="197" t="n">
        <x:f aca="0">-G42*'Assumptions'!$C$27*G7</x:f>
        <x:v>-1670.4109589041095</x:v>
      </x:c>
      <x:c r="H21" s="90"/>
      <x:c r="I21" s="90"/>
      <x:c r="J21" s="90"/>
    </x:row>
    <x:row r="22" ht="21" hidden="0" customHeight="1">
      <x:c r="A22" s="90"/>
      <x:c r="B22" s="115" t="str">
        <x:v>Recurring pretax earnings</x:v>
      </x:c>
      <x:c r="C22" s="149" t="n">
        <x:f aca="0">C14+SUM(C20:C21)</x:f>
        <x:v>154355.38938904105</x:v>
      </x:c>
      <x:c r="D22" s="149" t="n">
        <x:f aca="0">D14+SUM(D20:D21)</x:f>
        <x:v>449625.01300271886</x:v>
      </x:c>
      <x:c r="E22" s="149" t="n">
        <x:f aca="0">E14+SUM(E20:E21)</x:f>
        <x:v>592672.4726719387</x:v>
      </x:c>
      <x:c r="F22" s="149" t="n">
        <x:f aca="0">F14+SUM(F20:F21)</x:f>
        <x:v>690541.5862228265</x:v>
      </x:c>
      <x:c r="G22" s="149" t="n">
        <x:f aca="0">G14+SUM(G20:G21)</x:f>
        <x:v>837281.9680814641</x:v>
      </x:c>
      <x:c r="H22" s="90"/>
      <x:c r="I22" s="90"/>
      <x:c r="J22" s="90"/>
    </x:row>
    <x:row r="23" ht="21" hidden="0" customHeight="1">
      <x:c r="A23" s="90"/>
      <x:c r="B23" s="90" t="str">
        <x:v>Cash tax expense</x:v>
      </x:c>
      <x:c r="C23" s="197" t="n">
        <x:f aca="0">-MAX(0,C22)*'Assumptions'!$F$12</x:f>
        <x:v>-25468.639249191776</x:v>
      </x:c>
      <x:c r="D23" s="197" t="n">
        <x:f aca="0">-MAX(0,D22)*'Assumptions'!$F$12</x:f>
        <x:v>-74188.12714544861</x:v>
      </x:c>
      <x:c r="E23" s="197" t="n">
        <x:f aca="0">-MAX(0,E22)*'Assumptions'!$F$12</x:f>
        <x:v>-97790.9579908699</x:v>
      </x:c>
      <x:c r="F23" s="197" t="n">
        <x:f aca="0">-MAX(0,F22)*'Assumptions'!$F$12</x:f>
        <x:v>-113939.36172676638</x:v>
      </x:c>
      <x:c r="G23" s="197" t="n">
        <x:f aca="0">-MAX(0,G22)*'Assumptions'!$F$12</x:f>
        <x:v>-138151.5247334416</x:v>
      </x:c>
      <x:c r="H23" s="90"/>
      <x:c r="I23" s="90"/>
      <x:c r="J23" s="90"/>
    </x:row>
    <x:row r="24" ht="21" hidden="0" customHeight="1">
      <x:c r="A24" s="90"/>
      <x:c r="B24" s="204" t="str">
        <x:v>Recurring net income</x:v>
      </x:c>
      <x:c r="C24" s="205" t="n">
        <x:f aca="0">SUM(C22:C23)</x:f>
        <x:v>128886.75013984928</x:v>
      </x:c>
      <x:c r="D24" s="205" t="n">
        <x:f aca="0">SUM(D22:D23)</x:f>
        <x:v>375436.8858572702</x:v>
      </x:c>
      <x:c r="E24" s="205" t="n">
        <x:f aca="0">SUM(E22:E23)</x:f>
        <x:v>494881.51468106883</x:v>
      </x:c>
      <x:c r="F24" s="205" t="n">
        <x:f aca="0">SUM(F22:F23)</x:f>
        <x:v>576602.2244960602</x:v>
      </x:c>
      <x:c r="G24" s="205" t="n">
        <x:f aca="0">SUM(G22:G23)</x:f>
        <x:v>699130.4433480224</x:v>
      </x:c>
      <x:c r="H24" s="90"/>
      <x:c r="I24" s="90"/>
      <x:c r="J24" s="90"/>
    </x:row>
    <x:row r="25" ht="21" hidden="0" customHeight="1">
      <x:c r="A25" s="90"/>
      <x:c r="B25" s="90"/>
      <x:c r="C25" s="136">
        <x:f aca="0"/>
      </x:c>
      <x:c r="D25" s="136">
        <x:f aca="0"/>
      </x:c>
      <x:c r="E25" s="136">
        <x:f aca="0"/>
      </x:c>
      <x:c r="F25" s="136">
        <x:f aca="0"/>
      </x:c>
      <x:c r="G25" s="136">
        <x:f aca="0"/>
      </x:c>
      <x:c r="H25" s="90"/>
      <x:c r="I25" s="90"/>
      <x:c r="J25" s="90"/>
    </x:row>
    <x:row r="26" ht="21" hidden="0" customHeight="1">
      <x:c r="A26" s="90"/>
      <x:c r="B26" s="90" t="str">
        <x:v>Year-end operating NWC</x:v>
      </x:c>
      <x:c r="C26" s="197" t="n">
        <x:f aca="0">C9*'Assumptions'!$F$14</x:f>
        <x:v>65810.2288</x:v>
      </x:c>
      <x:c r="D26" s="197" t="n">
        <x:f aca="0">D9*'Assumptions'!$F$14</x:f>
        <x:v>108452.5168</x:v>
      </x:c>
      <x:c r="E26" s="197" t="n">
        <x:f aca="0">E9*'Assumptions'!$F$14</x:f>
        <x:v>141131.1888</x:v>
      </x:c>
      <x:c r="F26" s="197" t="n">
        <x:f aca="0">F9*'Assumptions'!$F$14</x:f>
        <x:v>161603.2064</x:v>
      </x:c>
      <x:c r="G26" s="197" t="n">
        <x:f aca="0">G9*'Assumptions'!$F$14</x:f>
        <x:v>193115.89760000003</x:v>
      </x:c>
      <x:c r="H26" s="90"/>
      <x:c r="I26" s="90"/>
      <x:c r="J26" s="90"/>
    </x:row>
    <x:row r="27" ht="21" hidden="0" customHeight="1">
      <x:c r="A27" s="90"/>
      <x:c r="B27" s="90" t="str">
        <x:v>Change in NWC: cash impact</x:v>
      </x:c>
      <x:c r="C27" s="197" t="n">
        <x:f aca="0">-(C26-'Source Inputs'!$C$41)</x:f>
        <x:v>-3594.228799999997</x:v>
      </x:c>
      <x:c r="D27" s="146" t="n">
        <x:f aca="0">-(D26-C26)</x:f>
        <x:v>-42642.288</x:v>
      </x:c>
      <x:c r="E27" s="146" t="n">
        <x:f aca="0">-(E26-D26)</x:f>
        <x:v>-32678.672000000006</x:v>
      </x:c>
      <x:c r="F27" s="146" t="n">
        <x:f aca="0">-(F26-E26)</x:f>
        <x:v>-20472.017599999992</x:v>
      </x:c>
      <x:c r="G27" s="146" t="n">
        <x:f aca="0">-(G26-F26)</x:f>
        <x:v>-31512.69120000003</x:v>
      </x:c>
      <x:c r="H27" s="90"/>
      <x:c r="I27" s="90"/>
      <x:c r="J27" s="90"/>
    </x:row>
    <x:row r="28" ht="21" hidden="0" customHeight="1">
      <x:c r="A28" s="90"/>
      <x:c r="B28" s="115" t="str">
        <x:v>Capital cash expenditure</x:v>
      </x:c>
      <x:c r="C28" s="202" t="n">
        <x:f aca="0">-MAX('Assumptions'!C54,MAX(0,'Assumptions'!C49-'Source Inputs'!$C$23)*'Assumptions'!$F$19)</x:f>
        <x:v>-7000</x:v>
      </x:c>
      <x:c r="D28" s="202" t="n">
        <x:f aca="0">-MAX('Assumptions'!D54,MAX(0,'Assumptions'!D49)*'Assumptions'!$F$19)</x:f>
        <x:v>-12830.5</x:v>
      </x:c>
      <x:c r="E28" s="202" t="n">
        <x:f aca="0">-MAX('Assumptions'!E54,MAX(0,'Assumptions'!E49)*'Assumptions'!$F$19)</x:f>
        <x:v>-15472.57</x:v>
      </x:c>
      <x:c r="F28" s="202" t="n">
        <x:f aca="0">-MAX('Assumptions'!F54,MAX(0,'Assumptions'!F49)*'Assumptions'!$F$19)</x:f>
        <x:v>-25469</x:v>
      </x:c>
      <x:c r="G28" s="202" t="n">
        <x:f aca="0">-MAX('Assumptions'!G54,MAX(0,'Assumptions'!G49)*'Assumptions'!$F$19)</x:f>
        <x:v>-29832.53</x:v>
      </x:c>
      <x:c r="H28" s="90"/>
      <x:c r="I28" s="90"/>
      <x:c r="J28" s="90"/>
    </x:row>
    <x:row r="29" ht="21" hidden="0" customHeight="1">
      <x:c r="A29" s="90"/>
      <x:c r="B29" s="204" t="str">
        <x:v>Unlevered cash flow before investments</x:v>
      </x:c>
      <x:c r="C29" s="206" t="n">
        <x:f>C14-MAX(0,C14)*'Assumptions'!$F$12+C16+SUM(C27:C28)-C10*'Assumptions'!$C$43</x:f>
        <x:v>120447.35802299996</x:v>
      </x:c>
      <x:c r="D29" s="206" t="n">
        <x:f>D14-MAX(0,D14)*'Assumptions'!$F$12+D16+SUM(D27:D28)-D10*'Assumptions'!$C$43</x:f>
        <x:v>323875.659553</x:v>
      </x:c>
      <x:c r="E29" s="206" t="n">
        <x:f>E14-MAX(0,E14)*'Assumptions'!$F$12+E16+SUM(E27:E28)-E10*'Assumptions'!$C$43</x:f>
        <x:v>444954.55642299994</x:v>
      </x:c>
      <x:c r="F29" s="206" t="n">
        <x:f>F14-MAX(0,F14)*'Assumptions'!$F$12+F16+SUM(F27:F28)-F10*'Assumptions'!$C$43</x:f>
        <x:v>525081.9664439999</x:v>
      </x:c>
      <x:c r="G29" s="206" t="n">
        <x:f>G14-MAX(0,G14)*'Assumptions'!$F$12+G16+SUM(G27:G28)-G10*'Assumptions'!$C$43</x:f>
        <x:v>622139.9185959998</x:v>
      </x:c>
      <x:c r="H29" s="90"/>
      <x:c r="I29" s="90"/>
      <x:c r="J29" s="90"/>
    </x:row>
    <x:row r="30" ht="21" hidden="0" customHeight="1">
      <x:c r="A30" s="115"/>
      <x:c r="B30" s="115" t="str">
        <x:v>Investment and acquisition cash outlays</x:v>
      </x:c>
      <x:c r="C30" s="200" t="n">
        <x:f>-'Assumptions'!C53*'Assumptions'!$C$32</x:f>
        <x:v>-18000</x:v>
      </x:c>
      <x:c r="D30" s="200" t="n">
        <x:f>-'Assumptions'!D53*'Assumptions'!$C$32-'Source Inputs'!$C$37*'Assumptions'!$C$42</x:f>
        <x:v>-15930.3</x:v>
      </x:c>
      <x:c r="E30" s="200" t="n">
        <x:f>-'Assumptions'!E53*'Assumptions'!$C$32</x:f>
        <x:v>-2000</x:v>
      </x:c>
      <x:c r="F30" s="200" t="n">
        <x:f>-'Assumptions'!F53*'Assumptions'!$C$32</x:f>
        <x:v>-2000</x:v>
      </x:c>
      <x:c r="G30" s="200" t="n">
        <x:f>-'Assumptions'!G53*'Assumptions'!$C$32</x:f>
        <x:v>0</x:v>
      </x:c>
      <x:c r="H30" s="115"/>
      <x:c r="I30" s="90"/>
      <x:c r="J30" s="90"/>
    </x:row>
    <x:row r="31" ht="21" hidden="0" customHeight="1">
      <x:c r="A31" s="90"/>
      <x:c r="B31" s="204" t="str">
        <x:v>Unlevered cash flow after investments</x:v>
      </x:c>
      <x:c r="C31" s="205" t="n">
        <x:f aca="0">SUM(C29:C30)</x:f>
        <x:v>102447.35802299996</x:v>
      </x:c>
      <x:c r="D31" s="205" t="n">
        <x:f aca="0">SUM(D29:D30)</x:f>
        <x:v>307945.359553</x:v>
      </x:c>
      <x:c r="E31" s="205" t="n">
        <x:f aca="0">SUM(E29:E30)</x:f>
        <x:v>442954.55642299994</x:v>
      </x:c>
      <x:c r="F31" s="205" t="n">
        <x:f aca="0">SUM(F29:F30)</x:f>
        <x:v>523081.9664439999</x:v>
      </x:c>
      <x:c r="G31" s="205" t="n">
        <x:f aca="0">SUM(G29:G30)</x:f>
        <x:v>622139.9185959998</x:v>
      </x:c>
      <x:c r="H31" s="90"/>
      <x:c r="I31" s="90"/>
      <x:c r="J31" s="90"/>
    </x:row>
    <x:row r="32" ht="21" hidden="0" customHeight="1">
      <x:c r="A32" s="90"/>
      <x:c r="B32" s="90"/>
      <x:c r="C32" s="136">
        <x:f aca="0"/>
      </x:c>
      <x:c r="D32" s="136">
        <x:f aca="0"/>
      </x:c>
      <x:c r="E32" s="136">
        <x:f aca="0"/>
      </x:c>
      <x:c r="F32" s="136">
        <x:f aca="0"/>
      </x:c>
      <x:c r="G32" s="136">
        <x:f aca="0"/>
      </x:c>
      <x:c r="H32" s="90"/>
      <x:c r="I32" s="90"/>
      <x:c r="J32" s="90"/>
    </x:row>
    <x:row r="33" ht="21" hidden="0" customHeight="1">
      <x:c r="A33" s="90"/>
      <x:c r="B33" s="90"/>
      <x:c r="C33" s="136">
        <x:f aca="0"/>
      </x:c>
      <x:c r="D33" s="136">
        <x:f aca="0"/>
      </x:c>
      <x:c r="E33" s="136">
        <x:f aca="0"/>
      </x:c>
      <x:c r="F33" s="136">
        <x:f aca="0"/>
      </x:c>
      <x:c r="G33" s="136">
        <x:f aca="0"/>
      </x:c>
      <x:c r="H33" s="90"/>
      <x:c r="I33" s="90"/>
      <x:c r="J33" s="90"/>
    </x:row>
    <x:row r="34" ht="21" hidden="0" customHeight="1">
      <x:c r="A34" s="90"/>
      <x:c r="B34" s="115" t="str">
        <x:v>Operating cash flow: SBC added back</x:v>
      </x:c>
      <x:c r="C34" s="149" t="n">
        <x:f aca="0">C24+C16-C13+C27</x:f>
        <x:v>135964.86923984927</x:v>
      </x:c>
      <x:c r="D34" s="149" t="n">
        <x:f aca="0">D24+D16-D13+D27</x:f>
        <x:v>358926.7547572702</x:v>
      </x:c>
      <x:c r="E34" s="149" t="n">
        <x:f aca="0">E24+E16-E13+E27</x:f>
        <x:v>495662.0005810688</x:v>
      </x:c>
      <x:c r="F34" s="149" t="n">
        <x:f aca="0">F24+F16-F13+F27</x:f>
        <x:v>600831.7480960601</x:v>
      </x:c>
      <x:c r="G34" s="149" t="n">
        <x:f aca="0">G24+G16-G13+G27</x:f>
        <x:v>722148.5529480224</x:v>
      </x:c>
      <x:c r="H34" s="90"/>
      <x:c r="I34" s="90"/>
      <x:c r="J34" s="90"/>
    </x:row>
    <x:row r="35" ht="21" hidden="0" customHeight="1">
      <x:c r="A35" s="90"/>
      <x:c r="B35" s="204" t="str">
        <x:v>Company-style free cash flow</x:v>
      </x:c>
      <x:c r="C35" s="207" t="n">
        <x:f aca="0">C34+C28-C10*'Assumptions'!$C$43</x:f>
        <x:v>128964.86923984927</x:v>
      </x:c>
      <x:c r="D35" s="207" t="n">
        <x:f aca="0">D34+D28-D10*'Assumptions'!$C$43</x:f>
        <x:v>346096.2547572702</x:v>
      </x:c>
      <x:c r="E35" s="207" t="n">
        <x:f aca="0">E34+E28-E10*'Assumptions'!$C$43</x:f>
        <x:v>480189.4305810688</x:v>
      </x:c>
      <x:c r="F35" s="207" t="n">
        <x:f aca="0">F34+F28-F10*'Assumptions'!$C$43</x:f>
        <x:v>575362.7480960601</x:v>
      </x:c>
      <x:c r="G35" s="207" t="n">
        <x:f aca="0">G34+G28-G10*'Assumptions'!$C$43</x:f>
        <x:v>692316.0229480223</x:v>
      </x:c>
      <x:c r="H35" s="90"/>
      <x:c r="I35" s="90"/>
      <x:c r="J35" s="90"/>
    </x:row>
    <x:row r="36" ht="21" hidden="0" customHeight="1">
      <x:c r="A36" s="90"/>
      <x:c r="B36" s="90" t="str">
        <x:v>Cash dividends</x:v>
      </x:c>
      <x:c r="C36" s="197" t="n">
        <x:f aca="0">-C46*'Source Inputs'!$C$33*4*C7*(1+'Assumptions'!$C$34)^0</x:f>
        <x:v>-12552.706849315067</x:v>
      </x:c>
      <x:c r="D36" s="197" t="n">
        <x:f aca="0">-D46*'Source Inputs'!$C$33*4*D7*(1+'Assumptions'!$C$34)^1</x:f>
        <x:v>-24054.968760878655</x:v>
      </x:c>
      <x:c r="E36" s="197" t="n">
        <x:f aca="0">-E46*'Source Inputs'!$C$33*4*E7*(1+'Assumptions'!$C$34)^2</x:f>
        <x:v>-23840.79169544894</x:v>
      </x:c>
      <x:c r="F36" s="197" t="n">
        <x:f aca="0">-F46*'Source Inputs'!$C$33*4*F7*(1+'Assumptions'!$C$34)^3</x:f>
        <x:v>-23653.14034633699</x:v>
      </x:c>
      <x:c r="G36" s="197" t="n">
        <x:f aca="0">-G46*'Source Inputs'!$C$33*4*G7*(1+'Assumptions'!$C$34)^4</x:f>
        <x:v>-23482.10640846224</x:v>
      </x:c>
      <x:c r="H36" s="90"/>
      <x:c r="I36" s="90"/>
      <x:c r="J36" s="90"/>
    </x:row>
    <x:row r="37" ht="21" hidden="0" customHeight="1">
      <x:c r="A37" s="90"/>
      <x:c r="B37" s="90" t="str">
        <x:v>Cash available for repurchases</x:v>
      </x:c>
      <x:c r="C37" s="197" t="n">
        <x:f aca="0">MAX(0,C19+C35+C30+C36+C59-'Source Inputs'!$C$15)</x:f>
        <x:v>138806.1623905342</x:v>
      </x:c>
      <x:c r="D37" s="197" t="n">
        <x:f aca="0">MAX(0,D19+D35+D30+D36+D59-'Source Inputs'!$C$15)</x:f>
        <x:v>408670.57304446003</x:v>
      </x:c>
      <x:c r="E37" s="197" t="n">
        <x:f aca="0">MAX(0,E19+E35+E30+E36+E59-'Source Inputs'!$C$15)</x:f>
        <x:v>793210.9927519978</x:v>
      </x:c>
      <x:c r="F37" s="197" t="n">
        <x:f aca="0">MAX(0,F19+F35+F30+F36+F59-'Source Inputs'!$C$15)</x:f>
        <x:v>1273112.3813236388</x:v>
      </x:c>
      <x:c r="G37" s="197" t="n">
        <x:f aca="0">MAX(0,G19+G35+G30+G36+G59-'Source Inputs'!$C$15)</x:f>
        <x:v>1872138.0786851167</x:v>
      </x:c>
      <x:c r="H37" s="90"/>
      <x:c r="I37" s="90"/>
      <x:c r="J37" s="90"/>
    </x:row>
    <x:row r="38" ht="21" hidden="0" customHeight="1">
      <x:c r="A38" s="90"/>
      <x:c r="B38" s="90" t="str">
        <x:v>Repurchase cash</x:v>
      </x:c>
      <x:c r="C38" s="197" t="n">
        <x:f aca="0">-MIN('Assumptions'!$F$15*C7,C37)</x:f>
        <x:v>-36246.57534246575</x:v>
      </x:c>
      <x:c r="D38" s="197" t="n">
        <x:f aca="0">-MIN('Assumptions'!$F$15*D7,D37)</x:f>
        <x:v>-69808.21917808219</x:v>
      </x:c>
      <x:c r="E38" s="197" t="n">
        <x:f aca="0">-MIN('Assumptions'!$F$15*E7,E37)</x:f>
        <x:v>-69808.21917808219</x:v>
      </x:c>
      <x:c r="F38" s="197" t="n">
        <x:f aca="0">-MIN('Assumptions'!$F$15*F7,F37)</x:f>
        <x:v>-69808.21917808219</x:v>
      </x:c>
      <x:c r="G38" s="197" t="n">
        <x:f aca="0">-MIN('Assumptions'!$F$15*G7,G37)</x:f>
        <x:v>-69808.21917808219</x:v>
      </x:c>
      <x:c r="H38" s="90"/>
      <x:c r="I38" s="90"/>
      <x:c r="J38" s="90"/>
    </x:row>
    <x:row r="39" ht="21" hidden="0" customHeight="1">
      <x:c r="A39" s="90"/>
      <x:c r="B39" s="115" t="str">
        <x:v>Net new financing required</x:v>
      </x:c>
      <x:c r="C39" s="149" t="n">
        <x:f aca="0">C44</x:f>
        <x:v>0</x:v>
      </x:c>
      <x:c r="D39" s="149" t="n">
        <x:f aca="0">D44</x:f>
        <x:v>0</x:v>
      </x:c>
      <x:c r="E39" s="149" t="n">
        <x:f aca="0">E44</x:f>
        <x:v>0</x:v>
      </x:c>
      <x:c r="F39" s="149" t="n">
        <x:f aca="0">F44</x:f>
        <x:v>0</x:v>
      </x:c>
      <x:c r="G39" s="149" t="n">
        <x:f aca="0">G44</x:f>
        <x:v>0</x:v>
      </x:c>
      <x:c r="H39" s="90"/>
      <x:c r="I39" s="90"/>
      <x:c r="J39" s="90"/>
    </x:row>
    <x:row r="40" ht="21" hidden="0" customHeight="1">
      <x:c r="A40" s="90"/>
      <x:c r="B40" s="204" t="str">
        <x:v>Ending liquid cash</x:v>
      </x:c>
      <x:c r="C40" s="205" t="n">
        <x:f aca="0">C19+C35+C30+C59+SUM(C36,C38:C39)</x:f>
        <x:v>112559.58704806845</x:v>
      </x:c>
      <x:c r="D40" s="205" t="n">
        <x:f aca="0">D19+D35+D30+D59+SUM(D36,D38:D39)</x:f>
        <x:v>348862.35386637785</x:v>
      </x:c>
      <x:c r="E40" s="205" t="n">
        <x:f aca="0">E19+E35+E30+E59+SUM(E36,E38:E39)</x:f>
        <x:v>733402.7735739156</x:v>
      </x:c>
      <x:c r="F40" s="205" t="n">
        <x:f aca="0">F19+F35+F30+F59+SUM(F36,F38:F39)</x:f>
        <x:v>1213304.1621455564</x:v>
      </x:c>
      <x:c r="G40" s="205" t="n">
        <x:f aca="0">G19+G35+G30+G59+SUM(G36,G38:G39)</x:f>
        <x:v>1812329.8595070345</x:v>
      </x:c>
      <x:c r="H40" s="90"/>
      <x:c r="I40" s="90"/>
      <x:c r="J40" s="90"/>
    </x:row>
    <x:row r="41" ht="21" hidden="0" customHeight="1">
      <x:c r="A41" s="90"/>
      <x:c r="B41" s="90"/>
      <x:c r="C41" s="136">
        <x:f aca="0"/>
      </x:c>
      <x:c r="D41" s="136">
        <x:f aca="0"/>
      </x:c>
      <x:c r="E41" s="136">
        <x:f aca="0"/>
      </x:c>
      <x:c r="F41" s="136">
        <x:f aca="0"/>
      </x:c>
      <x:c r="G41" s="136">
        <x:f aca="0"/>
      </x:c>
      <x:c r="H41" s="90"/>
      <x:c r="I41" s="90"/>
      <x:c r="J41" s="90"/>
    </x:row>
    <x:row r="42" ht="21" hidden="0" customHeight="1">
      <x:c r="A42" s="90"/>
      <x:c r="B42" s="115" t="str">
        <x:v>Beginning funded debt</x:v>
      </x:c>
      <x:c r="C42" s="202" t="n">
        <x:f aca="0">'Source Inputs'!$C$14</x:f>
        <x:v>33500</x:v>
      </x:c>
      <x:c r="D42" s="149" t="n">
        <x:f aca="0">C43</x:f>
        <x:v>33500</x:v>
      </x:c>
      <x:c r="E42" s="149" t="n">
        <x:f aca="0">D43</x:f>
        <x:v>33500</x:v>
      </x:c>
      <x:c r="F42" s="149" t="n">
        <x:f aca="0">E43</x:f>
        <x:v>33500</x:v>
      </x:c>
      <x:c r="G42" s="149" t="n">
        <x:f aca="0">F43</x:f>
        <x:v>33500</x:v>
      </x:c>
      <x:c r="H42" s="90"/>
      <x:c r="I42" s="90"/>
      <x:c r="J42" s="90"/>
    </x:row>
    <x:row r="43" ht="21" hidden="0" customHeight="1">
      <x:c r="A43" s="90"/>
      <x:c r="B43" s="204" t="str">
        <x:v>Ending funded debt</x:v>
      </x:c>
      <x:c r="C43" s="205" t="n">
        <x:f aca="0">C42+C39</x:f>
        <x:v>33500</x:v>
      </x:c>
      <x:c r="D43" s="205" t="n">
        <x:f aca="0">D42+D39</x:f>
        <x:v>33500</x:v>
      </x:c>
      <x:c r="E43" s="205" t="n">
        <x:f aca="0">E42+E39</x:f>
        <x:v>33500</x:v>
      </x:c>
      <x:c r="F43" s="205" t="n">
        <x:f aca="0">F42+F39</x:f>
        <x:v>33500</x:v>
      </x:c>
      <x:c r="G43" s="205" t="n">
        <x:f aca="0">G42+G39</x:f>
        <x:v>33500</x:v>
      </x:c>
      <x:c r="H43" s="90"/>
      <x:c r="I43" s="90"/>
      <x:c r="J43" s="90"/>
    </x:row>
    <x:row r="44" ht="21" hidden="0" customHeight="1">
      <x:c r="A44" s="90"/>
      <x:c r="B44" s="115" t="str">
        <x:v>Liquidity shortfall before new financing</x:v>
      </x:c>
      <x:c r="C44" s="202" t="n">
        <x:f aca="0">MAX(0,'Source Inputs'!$C$15-(C19+C35+C30+C36+C59))</x:f>
        <x:v>0</x:v>
      </x:c>
      <x:c r="D44" s="202" t="n">
        <x:f aca="0">MAX(0,'Source Inputs'!$C$15-(D19+D35+D30+D36+D59))</x:f>
        <x:v>0</x:v>
      </x:c>
      <x:c r="E44" s="202" t="n">
        <x:f aca="0">MAX(0,'Source Inputs'!$C$15-(E19+E35+E30+E36+E59))</x:f>
        <x:v>0</x:v>
      </x:c>
      <x:c r="F44" s="202" t="n">
        <x:f aca="0">MAX(0,'Source Inputs'!$C$15-(F19+F35+F30+F36+F59))</x:f>
        <x:v>0</x:v>
      </x:c>
      <x:c r="G44" s="202" t="n">
        <x:f aca="0">MAX(0,'Source Inputs'!$C$15-(G19+G35+G30+G36+G59))</x:f>
        <x:v>0</x:v>
      </x:c>
      <x:c r="H44" s="90"/>
      <x:c r="I44" s="90"/>
      <x:c r="J44" s="90"/>
    </x:row>
    <x:row r="45" ht="21" hidden="0" customHeight="1">
      <x:c r="A45" s="90"/>
      <x:c r="B45" s="115"/>
      <x:c r="C45" s="125">
        <x:f aca="0"/>
      </x:c>
      <x:c r="D45" s="125">
        <x:f aca="0"/>
      </x:c>
      <x:c r="E45" s="125">
        <x:f aca="0"/>
      </x:c>
      <x:c r="F45" s="125">
        <x:f aca="0"/>
      </x:c>
      <x:c r="G45" s="125">
        <x:f aca="0"/>
      </x:c>
      <x:c r="H45" s="90"/>
      <x:c r="I45" s="90"/>
      <x:c r="J45" s="90"/>
    </x:row>
    <x:row r="46" ht="21" hidden="0" customHeight="1">
      <x:c r="A46" s="90"/>
      <x:c r="B46" s="90" t="str">
        <x:v>Beginning diluted-equivalent shares</x:v>
      </x:c>
      <x:c r="C46" s="199" t="n">
        <x:f>'Source Inputs'!$C$40</x:f>
        <x:v>24242</x:v>
      </x:c>
      <x:c r="D46" s="102" t="n">
        <x:f>C49</x:f>
        <x:v>24121.053839892058</x:v>
      </x:c>
      <x:c r="E46" s="102" t="n">
        <x:f>D49</x:f>
        <x:v>23906.288375930944</x:v>
      </x:c>
      <x:c r="F46" s="102" t="n">
        <x:f>E49</x:f>
        <x:v>23718.121501134618</x:v>
      </x:c>
      <x:c r="G46" s="102" t="n">
        <x:f>F49</x:f>
        <x:v>23546.61768980417</x:v>
      </x:c>
      <x:c r="H46" s="90"/>
      <x:c r="I46" s="90"/>
      <x:c r="J46" s="90"/>
    </x:row>
    <x:row r="47" ht="21" hidden="0" customHeight="1">
      <x:c r="A47" s="115"/>
      <x:c r="B47" s="115" t="str">
        <x:v>Assumed SBC shares issued</x:v>
      </x:c>
      <x:c r="C47" s="200" t="n">
        <x:f>-C13/'Assumptions'!$C$35</x:f>
        <x:v>36.401362649765574</x:v>
      </x:c>
      <x:c r="D47" s="200" t="n">
        <x:f>-D13/'Assumptions'!$C$35</x:f>
        <x:v>88.27420949817676</x:v>
      </x:c>
      <x:c r="E47" s="200" t="n">
        <x:f>-E13/'Assumptions'!$C$35</x:f>
        <x:v>114.87279866296231</x:v>
      </x:c>
      <x:c r="F47" s="200" t="n">
        <x:f>-F13/'Assumptions'!$C$35</x:f>
        <x:v>131.5358621288418</x:v>
      </x:c>
      <x:c r="G47" s="200" t="n">
        <x:f>-G13/'Assumptions'!$C$35</x:f>
        <x:v>157.18540892516063</x:v>
      </x:c>
      <x:c r="H47" s="115"/>
      <x:c r="I47" s="90"/>
      <x:c r="J47" s="90"/>
    </x:row>
    <x:row r="48" ht="21" hidden="0" customHeight="1">
      <x:c r="A48" s="90"/>
      <x:c r="B48" s="90" t="str">
        <x:v>Shares repurchased</x:v>
      </x:c>
      <x:c r="C48" s="197" t="n">
        <x:f aca="0">C38/'Assumptions'!$C$35</x:f>
        <x:v>-157.3475227577086</x:v>
      </x:c>
      <x:c r="D48" s="197" t="n">
        <x:f aca="0">D38/'Assumptions'!$C$35</x:f>
        <x:v>-303.0396734592906</x:v>
      </x:c>
      <x:c r="E48" s="197" t="n">
        <x:f aca="0">E38/'Assumptions'!$C$35</x:f>
        <x:v>-303.0396734592906</x:v>
      </x:c>
      <x:c r="F48" s="197" t="n">
        <x:f aca="0">F38/'Assumptions'!$C$35</x:f>
        <x:v>-303.0396734592906</x:v>
      </x:c>
      <x:c r="G48" s="197" t="n">
        <x:f aca="0">G38/'Assumptions'!$C$35</x:f>
        <x:v>-303.0396734592906</x:v>
      </x:c>
      <x:c r="H48" s="90"/>
      <x:c r="I48" s="90"/>
      <x:c r="J48" s="90"/>
    </x:row>
    <x:row r="49" ht="21" hidden="0" customHeight="1">
      <x:c r="A49" s="90"/>
      <x:c r="B49" s="204" t="str">
        <x:v>Ending diluted-equivalent shares</x:v>
      </x:c>
      <x:c r="C49" s="205" t="n">
        <x:f aca="0">SUM(C46:C48)</x:f>
        <x:v>24121.053839892058</x:v>
      </x:c>
      <x:c r="D49" s="205" t="n">
        <x:f aca="0">SUM(D46:D48)</x:f>
        <x:v>23906.288375930944</x:v>
      </x:c>
      <x:c r="E49" s="205" t="n">
        <x:f aca="0">SUM(E46:E48)</x:f>
        <x:v>23718.121501134618</x:v>
      </x:c>
      <x:c r="F49" s="205" t="n">
        <x:f aca="0">SUM(F46:F48)</x:f>
        <x:v>23546.61768980417</x:v>
      </x:c>
      <x:c r="G49" s="205" t="n">
        <x:f aca="0">SUM(G46:G48)</x:f>
        <x:v>23400.76342527004</x:v>
      </x:c>
      <x:c r="H49" s="90"/>
      <x:c r="I49" s="90"/>
      <x:c r="J49" s="90"/>
    </x:row>
    <x:row r="50" ht="21" hidden="0" customHeight="1">
      <x:c r="A50" s="90"/>
      <x:c r="B50" s="90" t="str">
        <x:v>Average diluted-equivalent shares</x:v>
      </x:c>
      <x:c r="C50" s="146" t="n">
        <x:f aca="0">AVERAGE(C46,C49)</x:f>
        <x:v>24181.52691994603</x:v>
      </x:c>
      <x:c r="D50" s="146" t="n">
        <x:f aca="0">AVERAGE(D46,D49)</x:f>
        <x:v>24013.6711079115</x:v>
      </x:c>
      <x:c r="E50" s="146" t="n">
        <x:f aca="0">AVERAGE(E46,E49)</x:f>
        <x:v>23812.20493853278</x:v>
      </x:c>
      <x:c r="F50" s="146" t="n">
        <x:f aca="0">AVERAGE(F46,F49)</x:f>
        <x:v>23632.369595469394</x:v>
      </x:c>
      <x:c r="G50" s="146" t="n">
        <x:f aca="0">AVERAGE(G46,G49)</x:f>
        <x:v>23473.690557537106</x:v>
      </x:c>
      <x:c r="H50" s="90"/>
      <x:c r="I50" s="90"/>
      <x:c r="J50" s="90"/>
    </x:row>
    <x:row r="51" ht="21" hidden="0" customHeight="1">
      <x:c r="A51" s="90"/>
      <x:c r="B51" s="90" t="str">
        <x:v>Recurring EPS for forecast period</x:v>
      </x:c>
      <x:c r="C51" s="203" t="n">
        <x:f aca="0">C24/C50</x:f>
        <x:v>5.329967398937805</x:v>
      </x:c>
      <x:c r="D51" s="203" t="n">
        <x:f aca="0">D24/D50</x:f>
        <x:v>15.634297820193742</x:v>
      </x:c>
      <x:c r="E51" s="203" t="n">
        <x:f aca="0">E24/E50</x:f>
        <x:v>20.7826833322879</x:v>
      </x:c>
      <x:c r="F51" s="203" t="n">
        <x:f aca="0">F24/F50</x:f>
        <x:v>24.39883237974586</x:v>
      </x:c>
      <x:c r="G51" s="203" t="n">
        <x:f aca="0">G24/G50</x:f>
        <x:v>29.783575856312908</x:v>
      </x:c>
      <x:c r="H51" s="90"/>
      <x:c r="I51" s="90"/>
      <x:c r="J51" s="90"/>
    </x:row>
    <x:row r="52" ht="21" hidden="0" customHeight="1">
      <x:c r="A52" s="90"/>
      <x:c r="B52" s="90" t="str">
        <x:v>Cumulative new investment cost</x:v>
      </x:c>
      <x:c r="C52" s="146" t="n">
        <x:f aca="0">0-C30</x:f>
        <x:v>18000</x:v>
      </x:c>
      <x:c r="D52" s="146" t="n">
        <x:f aca="0">C52-D30</x:f>
        <x:v>33930.3</x:v>
      </x:c>
      <x:c r="E52" s="146" t="n">
        <x:f aca="0">D52-E30</x:f>
        <x:v>35930.3</x:v>
      </x:c>
      <x:c r="F52" s="146" t="n">
        <x:f aca="0">E52-F30</x:f>
        <x:v>37930.3</x:v>
      </x:c>
      <x:c r="G52" s="146" t="n">
        <x:f aca="0">F52-G30</x:f>
        <x:v>37930.3</x:v>
      </x:c>
      <x:c r="H52" s="90"/>
      <x:c r="I52" s="90"/>
      <x:c r="J52" s="90"/>
    </x:row>
    <x:row r="53" ht="21" hidden="0" customHeight="1">
      <x:c r="A53" s="90"/>
      <x:c r="B53" s="115"/>
      <x:c r="C53" s="125">
        <x:f aca="0"/>
      </x:c>
      <x:c r="D53" s="125">
        <x:f aca="0"/>
      </x:c>
      <x:c r="E53" s="125">
        <x:f aca="0"/>
      </x:c>
      <x:c r="F53" s="125">
        <x:f aca="0"/>
      </x:c>
      <x:c r="G53" s="125">
        <x:f aca="0"/>
      </x:c>
      <x:c r="H53" s="90"/>
      <x:c r="I53" s="90"/>
      <x:c r="J53" s="90"/>
    </x:row>
    <x:row r="54" ht="21" hidden="0" customHeight="1">
      <x:c r="A54" s="90"/>
      <x:c r="B54" s="90"/>
      <x:c r="C54" s="90"/>
      <x:c r="D54" s="90"/>
      <x:c r="E54" s="90"/>
      <x:c r="F54" s="90"/>
      <x:c r="G54" s="90"/>
      <x:c r="H54" s="90"/>
      <x:c r="I54" s="90"/>
      <x:c r="J54" s="90"/>
    </x:row>
    <x:row r="55" ht="21" hidden="0" customHeight="1">
      <x:c r="A55" s="90"/>
      <x:c r="B55" s="90" t="str">
        <x:v>Full-year GAAP-style EBIT</x:v>
      </x:c>
      <x:c r="C55" s="199" t="n">
        <x:f>C14+'Source Inputs'!$C$20</x:f>
        <x:v>271467.19379999995</x:v>
      </x:c>
      <x:c r="D55" s="102" t="n">
        <x:f>D14</x:f>
        <x:v>447366.6318</x:v>
      </x:c>
      <x:c r="E55" s="102" t="n">
        <x:f>E14</x:f>
        <x:v>582166.1538</x:v>
      </x:c>
      <x:c r="F55" s="102" t="n">
        <x:f>F14</x:f>
        <x:v>666613.2263999999</x:v>
      </x:c>
      <x:c r="G55" s="102" t="n">
        <x:f>G14</x:f>
        <x:v>796603.0776</x:v>
      </x:c>
      <x:c r="H55" s="90"/>
      <x:c r="I55" s="90"/>
      <x:c r="J55" s="90"/>
    </x:row>
    <x:row r="56" ht="21" hidden="0" customHeight="1">
      <x:c r="A56" s="90"/>
      <x:c r="B56" s="90" t="str">
        <x:v>Full-year D&amp;A</x:v>
      </x:c>
      <x:c r="C56" s="199" t="n">
        <x:f>C16+'Source Inputs'!$C$21</x:f>
        <x:v>4410.93</x:v>
      </x:c>
      <x:c r="D56" s="102" t="n">
        <x:f>D16</x:f>
        <x:v>5797.31</x:v>
      </x:c>
      <x:c r="E56" s="102" t="n">
        <x:f>E16</x:f>
        <x:v>6997.06</x:v>
      </x:c>
      <x:c r="F56" s="102" t="n">
        <x:f>F16</x:f>
        <x:v>14400.94</x:v>
      </x:c>
      <x:c r="G56" s="102" t="n">
        <x:f>G16</x:f>
        <x:v>18321.57</x:v>
      </x:c>
      <x:c r="H56" s="90"/>
      <x:c r="I56" s="90"/>
      <x:c r="J56" s="90"/>
    </x:row>
    <x:row r="57" ht="21" hidden="0" customHeight="1">
      <x:c r="A57" s="90"/>
      <x:c r="B57" s="204" t="str">
        <x:v>Full-year EBITDA after SBC</x:v>
      </x:c>
      <x:c r="C57" s="208" t="n">
        <x:f>SUM(C55:C56)</x:f>
        <x:v>275878.12379999994</x:v>
      </x:c>
      <x:c r="D57" s="208" t="n">
        <x:f>SUM(D55:D56)</x:f>
        <x:v>453163.9418</x:v>
      </x:c>
      <x:c r="E57" s="208" t="n">
        <x:f>SUM(E55:E56)</x:f>
        <x:v>589163.2138</x:v>
      </x:c>
      <x:c r="F57" s="208" t="n">
        <x:f>SUM(F55:F56)</x:f>
        <x:v>681014.1663999999</x:v>
      </x:c>
      <x:c r="G57" s="208" t="n">
        <x:f>SUM(G55:G56)</x:f>
        <x:v>814924.6475999999</x:v>
      </x:c>
      <x:c r="H57" s="90"/>
      <x:c r="I57" s="90"/>
      <x:c r="J57" s="90"/>
    </x:row>
    <x:row r="58" ht="21" hidden="0" customHeight="1">
      <x:c r="A58" s="90"/>
      <x:c r="B58" s="90" t="str">
        <x:v>Full-year SBC</x:v>
      </x:c>
      <x:c r="C58" s="199" t="n">
        <x:f>-C13+'Source Inputs'!$C$22</x:f>
        <x:v>12339.417899999999</x:v>
      </x:c>
      <x:c r="D58" s="102" t="n">
        <x:f>-D13</x:f>
        <x:v>20334.8469</x:v>
      </x:c>
      <x:c r="E58" s="102" t="n">
        <x:f>-E13</x:f>
        <x:v>26462.0979</x:v>
      </x:c>
      <x:c r="F58" s="102" t="n">
        <x:f>-F13</x:f>
        <x:v>30300.6012</x:v>
      </x:c>
      <x:c r="G58" s="102" t="n">
        <x:f>-G13</x:f>
        <x:v>36209.230800000005</x:v>
      </x:c>
      <x:c r="H58" s="90"/>
      <x:c r="I58" s="90"/>
      <x:c r="J58" s="90"/>
    </x:row>
    <x:row r="59" ht="21" hidden="0" customHeight="1">
      <x:c r="A59" s="90"/>
      <x:c r="B59" s="90" t="str">
        <x:v>Opening tax / acquisition payable settlement</x:v>
      </x:c>
      <x:c r="C59" s="199" t="n">
        <x:f>-'Source Inputs'!$C$32</x:f>
        <x:v>-6192</x:v>
      </x:c>
      <x:c r="D59" s="102" t="n">
        <x:f>0</x:f>
        <x:v>0</x:v>
      </x:c>
      <x:c r="E59" s="102" t="n">
        <x:f>0</x:f>
        <x:v>0</x:v>
      </x:c>
      <x:c r="F59" s="102" t="n">
        <x:f>0</x:f>
        <x:v>0</x:v>
      </x:c>
      <x:c r="G59" s="102" t="n">
        <x:f>0</x:f>
        <x:v>0</x:v>
      </x:c>
      <x:c r="H59" s="90"/>
      <x:c r="I59" s="90"/>
      <x:c r="J59" s="90"/>
    </x:row>
    <x:row r="60" ht="21" hidden="0" customHeight="1">
      <x:c r="A60" s="90"/>
      <x:c r="B60" s="90"/>
      <x:c r="C60" s="90"/>
      <x:c r="D60" s="90"/>
      <x:c r="E60" s="90"/>
      <x:c r="F60" s="90"/>
      <x:c r="G60" s="90"/>
      <x:c r="H60" s="90"/>
      <x:c r="I60" s="90"/>
      <x:c r="J60" s="90"/>
    </x:row>
    <x:row r="61" ht="21" hidden="0" customHeight="1">
      <x:c r="A61" s="90"/>
      <x:c r="B61" s="111" t="str">
        <x:v>Cash earnings exclude gains on equity investments. SBC is an expense in the DCF and is added back only in the company-style cash schedule. Issuance and buybacks affect the EPS illustration; today’s DCF uses today’s diluted denominator.</x:v>
      </x:c>
      <x:c r="C61" s="111"/>
      <x:c r="D61" s="111"/>
      <x:c r="E61" s="111"/>
      <x:c r="F61" s="111"/>
      <x:c r="G61" s="111"/>
      <x:c r="H61" s="111"/>
      <x:c r="I61" s="111"/>
      <x:c r="J61" s="111"/>
    </x:row>
    <x:row r="62" ht="21" hidden="0" customHeight="1">
      <x:c r="A62" s="90"/>
      <x:c r="B62" s="111"/>
      <x:c r="C62" s="111"/>
      <x:c r="D62" s="111"/>
      <x:c r="E62" s="111"/>
      <x:c r="F62" s="111"/>
      <x:c r="G62" s="111"/>
      <x:c r="H62" s="111"/>
      <x:c r="I62" s="111"/>
      <x:c r="J62" s="111"/>
    </x:row>
    <x:row r="63" ht="21" hidden="0" customHeight="1">
      <x:c r="A63" s="90"/>
      <x:c r="B63" s="111"/>
      <x:c r="C63" s="111"/>
      <x:c r="D63" s="111"/>
      <x:c r="E63" s="111"/>
      <x:c r="F63" s="111"/>
      <x:c r="G63" s="111"/>
      <x:c r="H63" s="111"/>
      <x:c r="I63" s="111"/>
      <x:c r="J63" s="111"/>
    </x:row>
    <x:row r="64" ht="21" hidden="0" customHeight="1">
      <x:c r="A64" s="90"/>
      <x:c r="B64" s="90"/>
      <x:c r="C64" s="90"/>
      <x:c r="D64" s="90"/>
      <x:c r="E64" s="90"/>
      <x:c r="F64" s="90"/>
      <x:c r="G64" s="90"/>
      <x:c r="H64" s="90"/>
      <x:c r="I64" s="90"/>
      <x:c r="J64" s="90"/>
    </x:row>
    <x:row r="65" ht="21" hidden="0" customHeight="1">
      <x:c r="A65" s="90"/>
      <x:c r="B65" s="90"/>
      <x:c r="C65" s="90"/>
      <x:c r="D65" s="90"/>
      <x:c r="E65" s="90"/>
      <x:c r="F65" s="90"/>
      <x:c r="G65" s="90"/>
      <x:c r="H65" s="90"/>
      <x:c r="I65" s="90"/>
      <x:c r="J65" s="90"/>
    </x:row>
    <x:row r="66" ht="21" hidden="0" customHeight="1">
      <x:c r="A66" s="90"/>
      <x:c r="B66" s="111" t="str">
        <x:v>Debt is assumed refinanced at maturity. Cash deficits appear as new financing requirements; buybacks stop at the operating cash reserve. The share-price assumption is used for both repurchases and SBC issuance.</x:v>
      </x:c>
      <x:c r="C66" s="111"/>
      <x:c r="D66" s="111"/>
      <x:c r="E66" s="111"/>
      <x:c r="F66" s="111"/>
      <x:c r="G66" s="111"/>
      <x:c r="H66" s="111"/>
      <x:c r="I66" s="111"/>
      <x:c r="J66" s="111"/>
    </x:row>
    <x:row r="67" ht="21" hidden="0" customHeight="1">
      <x:c r="A67" s="90"/>
      <x:c r="B67" s="111"/>
      <x:c r="C67" s="111"/>
      <x:c r="D67" s="111"/>
      <x:c r="E67" s="111"/>
      <x:c r="F67" s="111"/>
      <x:c r="G67" s="111"/>
      <x:c r="H67" s="111"/>
      <x:c r="I67" s="111"/>
      <x:c r="J67" s="111"/>
    </x:row>
    <x:row r="68" ht="21" hidden="0" customHeight="1">
      <x:c r="A68" s="90"/>
      <x:c r="B68" s="111"/>
      <x:c r="C68" s="111"/>
      <x:c r="D68" s="111"/>
      <x:c r="E68" s="111"/>
      <x:c r="F68" s="111"/>
      <x:c r="G68" s="111"/>
      <x:c r="H68" s="111"/>
      <x:c r="I68" s="111"/>
      <x:c r="J68" s="111"/>
    </x:row>
    <x:row r="69" ht="21" hidden="0" customHeight="1">
      <x:c r="A69" s="90"/>
      <x:c r="B69" s="90"/>
      <x:c r="C69" s="90"/>
      <x:c r="D69" s="90"/>
      <x:c r="E69" s="90"/>
      <x:c r="F69" s="90"/>
      <x:c r="G69" s="90"/>
      <x:c r="H69" s="90"/>
      <x:c r="I69" s="90"/>
      <x:c r="J69" s="90"/>
    </x:row>
    <x:row r="70" ht="21" hidden="0" customHeight="1">
      <x:c r="A70" s="90"/>
      <x:c r="B70" s="90"/>
      <x:c r="C70" s="90"/>
      <x:c r="D70" s="90"/>
      <x:c r="E70" s="90"/>
      <x:c r="F70" s="90"/>
      <x:c r="G70" s="90"/>
      <x:c r="H70" s="90"/>
      <x:c r="I70" s="90"/>
      <x:c r="J70" s="90"/>
    </x:row>
    <x:row r="71" ht="21" hidden="0" customHeight="1">
      <x:c r="A71" s="90"/>
      <x:c r="B71" s="111" t="str">
        <x:v>The first forecast period begins after July 26 actuals. DCF and the teaching acquisition case include only the remaining fraction after the valuation date. Within that stub, cash flows are assumed evenly earned.</x:v>
      </x:c>
      <x:c r="C71" s="111"/>
      <x:c r="D71" s="111"/>
      <x:c r="E71" s="111"/>
      <x:c r="F71" s="111"/>
      <x:c r="G71" s="111"/>
      <x:c r="H71" s="111"/>
      <x:c r="I71" s="111"/>
      <x:c r="J71" s="111"/>
    </x:row>
    <x:row r="72" ht="21" hidden="0" customHeight="1">
      <x:c r="A72" s="90"/>
      <x:c r="B72" s="111"/>
      <x:c r="C72" s="111"/>
      <x:c r="D72" s="111"/>
      <x:c r="E72" s="111"/>
      <x:c r="F72" s="111"/>
      <x:c r="G72" s="111"/>
      <x:c r="H72" s="111"/>
      <x:c r="I72" s="111"/>
      <x:c r="J72" s="111"/>
    </x:row>
    <x:row r="73" ht="21" hidden="0" customHeight="1">
      <x:c r="A73" s="90"/>
      <x:c r="B73" s="111"/>
      <x:c r="C73" s="111"/>
      <x:c r="D73" s="111"/>
      <x:c r="E73" s="111"/>
      <x:c r="F73" s="111"/>
      <x:c r="G73" s="111"/>
      <x:c r="H73" s="111"/>
      <x:c r="I73" s="111"/>
      <x:c r="J73" s="111"/>
    </x:row>
    <x:row r="74" ht="21" hidden="0" customHeight="1">
      <x:c r="A74" s="90"/>
      <x:c r="B74" s="90"/>
      <x:c r="C74" s="90"/>
      <x:c r="D74" s="90"/>
      <x:c r="E74" s="90"/>
      <x:c r="F74" s="90"/>
      <x:c r="G74" s="90"/>
      <x:c r="H74" s="90"/>
      <x:c r="I74" s="90"/>
      <x:c r="J74" s="90"/>
    </x:row>
    <x:row r="75" ht="21" hidden="0" customHeight="1">
      <x:c r="A75" s="90"/>
      <x:c r="B75" s="90"/>
      <x:c r="C75" s="90"/>
      <x:c r="D75" s="90"/>
      <x:c r="E75" s="90"/>
      <x:c r="F75" s="90"/>
      <x:c r="G75" s="90"/>
      <x:c r="H75" s="90"/>
      <x:c r="I75" s="90"/>
      <x:c r="J75" s="90"/>
    </x:row>
    <x:row r="76" ht="21" hidden="0" customHeight="1">
      <x:c r="A76" s="90"/>
      <x:c r="B76" s="90"/>
      <x:c r="C76" s="90"/>
      <x:c r="D76" s="90"/>
      <x:c r="E76" s="90"/>
      <x:c r="F76" s="90"/>
      <x:c r="G76" s="90"/>
      <x:c r="H76" s="90"/>
      <x:c r="I76" s="90"/>
      <x:c r="J76" s="90"/>
    </x:row>
    <x:row r="77" ht="21" hidden="0" customHeight="1">
      <x:c r="A77" s="90"/>
      <x:c r="B77" s="90"/>
      <x:c r="C77" s="90"/>
      <x:c r="D77" s="90"/>
      <x:c r="E77" s="90"/>
      <x:c r="F77" s="90"/>
      <x:c r="G77" s="90"/>
      <x:c r="H77" s="90"/>
      <x:c r="I77" s="90"/>
      <x:c r="J77" s="90"/>
    </x:row>
    <x:row r="78" ht="21" hidden="0" customHeight="1">
      <x:c r="A78" s="90"/>
      <x:c r="B78" s="90"/>
      <x:c r="C78" s="90"/>
      <x:c r="D78" s="90"/>
      <x:c r="E78" s="90"/>
      <x:c r="F78" s="90"/>
      <x:c r="G78" s="90"/>
      <x:c r="H78" s="90"/>
      <x:c r="I78" s="90"/>
      <x:c r="J78" s="90"/>
    </x:row>
    <x:row r="79" ht="21" hidden="0" customHeight="1">
      <x:c r="A79" s="90"/>
      <x:c r="B79" s="90"/>
      <x:c r="C79" s="90"/>
      <x:c r="D79" s="90"/>
      <x:c r="E79" s="90"/>
      <x:c r="F79" s="90"/>
      <x:c r="G79" s="90"/>
      <x:c r="H79" s="90"/>
      <x:c r="I79" s="90"/>
      <x:c r="J79" s="90"/>
    </x:row>
    <x:row r="80" ht="21" hidden="0" customHeight="1">
      <x:c r="A80" s="90"/>
      <x:c r="B80" s="90"/>
      <x:c r="C80" s="90"/>
      <x:c r="D80" s="90"/>
      <x:c r="E80" s="90"/>
      <x:c r="F80" s="90"/>
      <x:c r="G80" s="90"/>
      <x:c r="H80" s="90"/>
      <x:c r="I80" s="90"/>
      <x:c r="J80" s="90"/>
    </x:row>
    <x:row r="81" ht="21" hidden="0" customHeight="1">
      <x:c r="A81" s="90"/>
      <x:c r="B81" s="90"/>
      <x:c r="C81" s="90"/>
      <x:c r="D81" s="90"/>
      <x:c r="E81" s="90"/>
      <x:c r="F81" s="90"/>
      <x:c r="G81" s="90"/>
      <x:c r="H81" s="90"/>
      <x:c r="I81" s="90"/>
      <x:c r="J81" s="90"/>
    </x:row>
    <x:row r="82" ht="21" hidden="0" customHeight="1">
      <x:c r="A82" s="90"/>
      <x:c r="B82" s="90"/>
      <x:c r="C82" s="90"/>
      <x:c r="D82" s="90"/>
      <x:c r="E82" s="90"/>
      <x:c r="F82" s="90"/>
      <x:c r="G82" s="90"/>
      <x:c r="H82" s="90"/>
      <x:c r="I82" s="90"/>
      <x:c r="J82" s="90"/>
    </x:row>
    <x:row r="83" ht="21" hidden="0" customHeight="1">
      <x:c r="A83" s="90"/>
      <x:c r="B83" s="90"/>
      <x:c r="C83" s="90"/>
      <x:c r="D83" s="90"/>
      <x:c r="E83" s="90"/>
      <x:c r="F83" s="90"/>
      <x:c r="G83" s="90"/>
      <x:c r="H83" s="90"/>
      <x:c r="I83" s="90"/>
      <x:c r="J83" s="90"/>
    </x:row>
    <x:row r="84" ht="21" hidden="0" customHeight="1">
      <x:c r="A84" s="90"/>
      <x:c r="B84" s="90"/>
      <x:c r="C84" s="90"/>
      <x:c r="D84" s="90"/>
      <x:c r="E84" s="90"/>
      <x:c r="F84" s="90"/>
      <x:c r="G84" s="90"/>
      <x:c r="H84" s="90"/>
      <x:c r="I84" s="90"/>
      <x:c r="J84" s="90"/>
    </x:row>
    <x:row r="85" ht="21" hidden="0" customHeight="1">
      <x:c r="A85" s="90"/>
      <x:c r="B85" s="90"/>
      <x:c r="C85" s="90"/>
      <x:c r="D85" s="90"/>
      <x:c r="E85" s="90"/>
      <x:c r="F85" s="90"/>
      <x:c r="G85" s="90"/>
      <x:c r="H85" s="90"/>
      <x:c r="I85" s="90"/>
      <x:c r="J85" s="90"/>
    </x:row>
    <x:row r="86" ht="21" hidden="0" customHeight="1">
      <x:c r="A86" s="90"/>
      <x:c r="B86" s="90"/>
      <x:c r="C86" s="90"/>
      <x:c r="D86" s="90"/>
      <x:c r="E86" s="90"/>
      <x:c r="F86" s="90"/>
      <x:c r="G86" s="90"/>
      <x:c r="H86" s="90"/>
      <x:c r="I86" s="90"/>
      <x:c r="J86" s="90"/>
    </x:row>
    <x:row r="87" ht="15" hidden="0">
      <x:c r="A87" s="2"/>
      <x:c r="B87" s="2"/>
      <x:c r="C87" s="2"/>
      <x:c r="D87" s="2"/>
      <x:c r="E87" s="2"/>
      <x:c r="F87" s="2"/>
      <x:c r="G87" s="2"/>
      <x:c r="H87" s="2"/>
      <x:c r="I87" s="2"/>
      <x:c r="J87" s="2"/>
    </x:row>
    <x:row r="88" ht="15" hidden="0">
      <x:c r="A88" s="2"/>
      <x:c r="B88" s="2"/>
      <x:c r="C88" s="2"/>
      <x:c r="D88" s="2"/>
      <x:c r="E88" s="2"/>
      <x:c r="F88" s="2"/>
      <x:c r="G88" s="2"/>
      <x:c r="H88" s="2"/>
      <x:c r="I88" s="2"/>
      <x:c r="J88" s="2"/>
    </x:row>
    <x:row r="89" ht="15" hidden="0">
      <x:c r="A89" s="2"/>
      <x:c r="B89" s="2"/>
      <x:c r="C89" s="2"/>
      <x:c r="D89" s="2"/>
      <x:c r="E89" s="2"/>
      <x:c r="F89" s="2"/>
      <x:c r="G89" s="2"/>
      <x:c r="H89" s="2"/>
      <x:c r="I89" s="2"/>
      <x:c r="J89" s="2"/>
    </x:row>
    <x:row r="90" ht="15" hidden="0">
      <x:c r="A90" s="2"/>
      <x:c r="B90" s="2"/>
      <x:c r="C90" s="2"/>
      <x:c r="D90" s="2"/>
      <x:c r="E90" s="2"/>
      <x:c r="F90" s="2"/>
      <x:c r="G90" s="2"/>
      <x:c r="H90" s="2"/>
      <x:c r="I90" s="2"/>
      <x:c r="J90" s="2"/>
    </x:row>
    <x:row r="91" ht="15" hidden="0">
      <x:c r="A91" s="2"/>
      <x:c r="B91" s="2"/>
      <x:c r="C91" s="2"/>
      <x:c r="D91" s="2"/>
      <x:c r="E91" s="2"/>
      <x:c r="F91" s="2"/>
      <x:c r="G91" s="2"/>
      <x:c r="H91" s="2"/>
      <x:c r="I91" s="2"/>
      <x:c r="J91" s="2"/>
    </x:row>
    <x:row r="92" ht="15" hidden="0">
      <x:c r="A92" s="2"/>
      <x:c r="B92" s="2"/>
      <x:c r="C92" s="2"/>
      <x:c r="D92" s="2"/>
      <x:c r="E92" s="2"/>
      <x:c r="F92" s="2"/>
      <x:c r="G92" s="2"/>
      <x:c r="H92" s="2"/>
      <x:c r="I92" s="2"/>
      <x:c r="J92" s="2"/>
    </x:row>
    <x:row r="93" ht="15" hidden="0">
      <x:c r="A93" s="2"/>
      <x:c r="B93" s="2"/>
      <x:c r="C93" s="2"/>
      <x:c r="D93" s="2"/>
      <x:c r="E93" s="2"/>
      <x:c r="F93" s="2"/>
      <x:c r="G93" s="2"/>
      <x:c r="H93" s="2"/>
      <x:c r="I93" s="2"/>
      <x:c r="J93" s="2"/>
    </x:row>
    <x:row r="94" ht="15" hidden="0">
      <x:c r="A94" s="2"/>
      <x:c r="B94" s="2"/>
      <x:c r="C94" s="2"/>
      <x:c r="D94" s="2"/>
      <x:c r="E94" s="2"/>
      <x:c r="F94" s="2"/>
      <x:c r="G94" s="2"/>
      <x:c r="H94" s="2"/>
      <x:c r="I94" s="2"/>
      <x:c r="J94" s="2"/>
    </x:row>
    <x:row r="95" ht="15" hidden="0">
      <x:c r="A95" s="2"/>
      <x:c r="B95" s="2"/>
      <x:c r="C95" s="2"/>
      <x:c r="D95" s="2"/>
      <x:c r="E95" s="2"/>
      <x:c r="F95" s="2"/>
      <x:c r="G95" s="2"/>
      <x:c r="H95" s="2"/>
      <x:c r="I95" s="2"/>
      <x:c r="J95" s="2"/>
    </x:row>
    <x:row r="96" ht="15" hidden="0">
      <x:c r="A96" s="2"/>
      <x:c r="B96" s="2"/>
      <x:c r="C96" s="2"/>
      <x:c r="D96" s="2"/>
      <x:c r="E96" s="2"/>
      <x:c r="F96" s="2"/>
      <x:c r="G96" s="2"/>
      <x:c r="H96" s="2"/>
      <x:c r="I96" s="2"/>
      <x:c r="J96" s="2"/>
    </x:row>
    <x:row r="97" ht="15" hidden="0">
      <x:c r="A97" s="2"/>
      <x:c r="B97" s="2"/>
      <x:c r="C97" s="2"/>
      <x:c r="D97" s="2"/>
      <x:c r="E97" s="2"/>
      <x:c r="F97" s="2"/>
      <x:c r="G97" s="2"/>
      <x:c r="H97" s="2"/>
      <x:c r="I97" s="2"/>
      <x:c r="J97" s="2"/>
    </x:row>
    <x:row r="98" ht="15" hidden="0">
      <x:c r="A98" s="2"/>
      <x:c r="B98" s="2"/>
      <x:c r="C98" s="2"/>
      <x:c r="D98" s="2"/>
      <x:c r="E98" s="2"/>
      <x:c r="F98" s="2"/>
      <x:c r="G98" s="2"/>
      <x:c r="H98" s="2"/>
      <x:c r="I98" s="2"/>
      <x:c r="J98" s="2"/>
    </x:row>
    <x:row r="99" ht="15" hidden="0">
      <x:c r="A99" s="2"/>
      <x:c r="B99" s="2"/>
      <x:c r="C99" s="2"/>
      <x:c r="D99" s="2"/>
      <x:c r="E99" s="2"/>
      <x:c r="F99" s="2"/>
      <x:c r="G99" s="2"/>
      <x:c r="H99" s="2"/>
      <x:c r="I99" s="2"/>
      <x:c r="J99" s="2"/>
    </x:row>
    <x:row r="100" ht="15" hidden="0">
      <x:c r="A100" s="2"/>
      <x:c r="B100" s="2"/>
      <x:c r="C100" s="2"/>
      <x:c r="D100" s="2"/>
      <x:c r="E100" s="2"/>
      <x:c r="F100" s="2"/>
      <x:c r="G100" s="2"/>
      <x:c r="H100" s="2"/>
      <x:c r="I100" s="2"/>
      <x:c r="J100" s="2"/>
    </x:row>
    <x:row r="101" ht="15" hidden="0">
      <x:c r="A101" s="2"/>
      <x:c r="B101" s="2"/>
      <x:c r="C101" s="2"/>
      <x:c r="D101" s="2"/>
      <x:c r="E101" s="2"/>
      <x:c r="F101" s="2"/>
      <x:c r="G101" s="2"/>
      <x:c r="H101" s="2"/>
      <x:c r="I101" s="2"/>
      <x:c r="J101" s="2"/>
    </x:row>
    <x:row r="102" ht="15" hidden="0">
      <x:c r="A102" s="2"/>
      <x:c r="B102" s="2"/>
      <x:c r="C102" s="2"/>
      <x:c r="D102" s="2"/>
      <x:c r="E102" s="2"/>
      <x:c r="F102" s="2"/>
      <x:c r="G102" s="2"/>
      <x:c r="H102" s="2"/>
      <x:c r="I102" s="2"/>
      <x:c r="J102" s="2"/>
    </x:row>
    <x:row r="103" ht="15" hidden="0">
      <x:c r="A103" s="2"/>
      <x:c r="B103" s="2"/>
      <x:c r="C103" s="2"/>
      <x:c r="D103" s="2"/>
      <x:c r="E103" s="2"/>
      <x:c r="F103" s="2"/>
      <x:c r="G103" s="2"/>
      <x:c r="H103" s="2"/>
      <x:c r="I103" s="2"/>
      <x:c r="J103" s="2"/>
    </x:row>
    <x:row r="104" ht="15" hidden="0">
      <x:c r="A104" s="2"/>
      <x:c r="B104" s="2"/>
      <x:c r="C104" s="2"/>
      <x:c r="D104" s="2"/>
      <x:c r="E104" s="2"/>
      <x:c r="F104" s="2"/>
      <x:c r="G104" s="2"/>
      <x:c r="H104" s="2"/>
      <x:c r="I104" s="2"/>
      <x:c r="J104" s="2"/>
    </x:row>
    <x:row r="105" ht="15" hidden="0">
      <x:c r="A105" s="2"/>
      <x:c r="B105" s="2"/>
      <x:c r="C105" s="2"/>
      <x:c r="D105" s="2"/>
      <x:c r="E105" s="2"/>
      <x:c r="F105" s="2"/>
      <x:c r="G105" s="2"/>
      <x:c r="H105" s="2"/>
      <x:c r="I105" s="2"/>
      <x:c r="J105" s="2"/>
    </x:row>
    <x:row r="106" ht="15" hidden="0">
      <x:c r="A106" s="2"/>
      <x:c r="B106" s="2"/>
      <x:c r="C106" s="2"/>
      <x:c r="D106" s="2"/>
      <x:c r="E106" s="2"/>
      <x:c r="F106" s="2"/>
      <x:c r="G106" s="2"/>
      <x:c r="H106" s="2"/>
      <x:c r="I106" s="2"/>
      <x:c r="J106" s="2"/>
    </x:row>
    <x:row r="107" ht="15" hidden="0">
      <x:c r="A107" s="2"/>
      <x:c r="B107" s="2"/>
      <x:c r="C107" s="2"/>
      <x:c r="D107" s="2"/>
      <x:c r="E107" s="2"/>
      <x:c r="F107" s="2"/>
      <x:c r="G107" s="2"/>
      <x:c r="H107" s="2"/>
      <x:c r="I107" s="2"/>
      <x:c r="J107" s="2"/>
    </x:row>
    <x:row r="108" ht="15" hidden="0">
      <x:c r="A108" s="2"/>
      <x:c r="B108" s="2"/>
      <x:c r="C108" s="2"/>
      <x:c r="D108" s="2"/>
      <x:c r="E108" s="2"/>
      <x:c r="F108" s="2"/>
      <x:c r="G108" s="2"/>
      <x:c r="H108" s="2"/>
      <x:c r="I108" s="2"/>
      <x:c r="J108" s="2"/>
    </x:row>
    <x:row r="109" ht="15" hidden="0">
      <x:c r="A109" s="2"/>
      <x:c r="B109" s="2"/>
      <x:c r="C109" s="2"/>
      <x:c r="D109" s="2"/>
      <x:c r="E109" s="2"/>
      <x:c r="F109" s="2"/>
      <x:c r="G109" s="2"/>
      <x:c r="H109" s="2"/>
      <x:c r="I109" s="2"/>
      <x:c r="J109" s="2"/>
    </x:row>
    <x:row r="110" ht="15" hidden="0">
      <x:c r="A110" s="2"/>
      <x:c r="B110" s="2"/>
      <x:c r="C110" s="2"/>
      <x:c r="D110" s="2"/>
      <x:c r="E110" s="2"/>
      <x:c r="F110" s="2"/>
      <x:c r="G110" s="2"/>
      <x:c r="H110" s="2"/>
      <x:c r="I110" s="2"/>
      <x:c r="J110" s="2"/>
    </x:row>
    <x:row r="111" ht="15" hidden="0">
      <x:c r="A111" s="2"/>
      <x:c r="B111" s="2"/>
      <x:c r="C111" s="2"/>
      <x:c r="D111" s="2"/>
      <x:c r="E111" s="2"/>
      <x:c r="F111" s="2"/>
      <x:c r="G111" s="2"/>
      <x:c r="H111" s="2"/>
      <x:c r="I111" s="2"/>
      <x:c r="J111" s="2"/>
    </x:row>
    <x:row r="112" ht="15" hidden="0">
      <x:c r="A112" s="2"/>
      <x:c r="B112" s="2"/>
      <x:c r="C112" s="2"/>
      <x:c r="D112" s="2"/>
      <x:c r="E112" s="2"/>
      <x:c r="F112" s="2"/>
      <x:c r="G112" s="2"/>
      <x:c r="H112" s="2"/>
      <x:c r="I112" s="2"/>
      <x:c r="J112" s="2"/>
    </x:row>
    <x:row r="113" ht="15" hidden="0">
      <x:c r="A113" s="2"/>
      <x:c r="B113" s="2"/>
      <x:c r="C113" s="2"/>
      <x:c r="D113" s="2"/>
      <x:c r="E113" s="2"/>
      <x:c r="F113" s="2"/>
      <x:c r="G113" s="2"/>
      <x:c r="H113" s="2"/>
      <x:c r="I113" s="2"/>
      <x:c r="J113" s="2"/>
    </x:row>
    <x:row r="114" ht="15" hidden="0">
      <x:c r="A114" s="2"/>
      <x:c r="B114" s="2"/>
      <x:c r="C114" s="2"/>
      <x:c r="D114" s="2"/>
      <x:c r="E114" s="2"/>
      <x:c r="F114" s="2"/>
      <x:c r="G114" s="2"/>
      <x:c r="H114" s="2"/>
      <x:c r="I114" s="2"/>
      <x:c r="J114" s="2"/>
    </x:row>
    <x:row r="115" ht="15" hidden="0">
      <x:c r="A115" s="2"/>
      <x:c r="B115" s="2"/>
      <x:c r="C115" s="2"/>
      <x:c r="D115" s="2"/>
      <x:c r="E115" s="2"/>
      <x:c r="F115" s="2"/>
      <x:c r="G115" s="2"/>
      <x:c r="H115" s="2"/>
      <x:c r="I115" s="2"/>
      <x:c r="J115" s="2"/>
    </x:row>
    <x:row r="116" ht="15" hidden="0">
      <x:c r="A116" s="2"/>
      <x:c r="B116" s="2"/>
      <x:c r="C116" s="2"/>
      <x:c r="D116" s="2"/>
      <x:c r="E116" s="2"/>
      <x:c r="F116" s="2"/>
      <x:c r="G116" s="2"/>
      <x:c r="H116" s="2"/>
      <x:c r="I116" s="2"/>
      <x:c r="J116" s="2"/>
    </x:row>
    <x:row r="117" ht="15" hidden="0">
      <x:c r="A117" s="2"/>
      <x:c r="B117" s="2"/>
      <x:c r="C117" s="2"/>
      <x:c r="D117" s="2"/>
      <x:c r="E117" s="2"/>
      <x:c r="F117" s="2"/>
      <x:c r="G117" s="2"/>
      <x:c r="H117" s="2"/>
      <x:c r="I117" s="2"/>
      <x:c r="J117" s="2"/>
    </x:row>
    <x:row r="118" ht="15" hidden="0">
      <x:c r="A118" s="2"/>
      <x:c r="B118" s="2"/>
      <x:c r="C118" s="2"/>
      <x:c r="D118" s="2"/>
      <x:c r="E118" s="2"/>
      <x:c r="F118" s="2"/>
      <x:c r="G118" s="2"/>
      <x:c r="H118" s="2"/>
      <x:c r="I118" s="2"/>
      <x:c r="J118" s="2"/>
    </x:row>
    <x:row r="119" ht="15" hidden="0">
      <x:c r="A119" s="2"/>
      <x:c r="B119" s="2"/>
      <x:c r="C119" s="2"/>
      <x:c r="D119" s="2"/>
      <x:c r="E119" s="2"/>
      <x:c r="F119" s="2"/>
      <x:c r="G119" s="2"/>
      <x:c r="H119" s="2"/>
      <x:c r="I119" s="2"/>
      <x:c r="J119" s="2"/>
    </x:row>
    <x:row r="120" ht="15" hidden="0">
      <x:c r="A120" s="2"/>
      <x:c r="B120" s="2"/>
      <x:c r="C120" s="2"/>
      <x:c r="D120" s="2"/>
      <x:c r="E120" s="2"/>
      <x:c r="F120" s="2"/>
      <x:c r="G120" s="2"/>
      <x:c r="H120" s="2"/>
      <x:c r="I120" s="2"/>
      <x:c r="J120" s="2"/>
    </x:row>
    <x:row r="121" ht="15" hidden="0">
      <x:c r="A121" s="2"/>
      <x:c r="B121" s="2"/>
      <x:c r="C121" s="2"/>
      <x:c r="D121" s="2"/>
      <x:c r="E121" s="2"/>
      <x:c r="F121" s="2"/>
      <x:c r="G121" s="2"/>
      <x:c r="H121" s="2"/>
      <x:c r="I121" s="2"/>
      <x:c r="J121" s="2"/>
    </x:row>
    <x:row r="122" ht="15" hidden="0">
      <x:c r="A122" s="2"/>
      <x:c r="B122" s="2"/>
      <x:c r="C122" s="2"/>
      <x:c r="D122" s="2"/>
      <x:c r="E122" s="2"/>
      <x:c r="F122" s="2"/>
      <x:c r="G122" s="2"/>
      <x:c r="H122" s="2"/>
      <x:c r="I122" s="2"/>
      <x:c r="J122" s="2"/>
    </x:row>
    <x:row r="123" ht="15" hidden="0">
      <x:c r="A123" s="2"/>
      <x:c r="B123" s="2"/>
      <x:c r="C123" s="2"/>
      <x:c r="D123" s="2"/>
      <x:c r="E123" s="2"/>
      <x:c r="F123" s="2"/>
      <x:c r="G123" s="2"/>
      <x:c r="H123" s="2"/>
      <x:c r="I123" s="2"/>
      <x:c r="J123" s="2"/>
    </x:row>
    <x:row r="124" ht="15" hidden="0">
      <x:c r="A124" s="2"/>
      <x:c r="B124" s="2"/>
      <x:c r="C124" s="2"/>
      <x:c r="D124" s="2"/>
      <x:c r="E124" s="2"/>
      <x:c r="F124" s="2"/>
      <x:c r="G124" s="2"/>
      <x:c r="H124" s="2"/>
      <x:c r="I124" s="2"/>
      <x:c r="J124" s="2"/>
    </x:row>
    <x:row r="125" ht="15" hidden="0">
      <x:c r="A125" s="2"/>
      <x:c r="B125" s="2"/>
      <x:c r="C125" s="2"/>
      <x:c r="D125" s="2"/>
      <x:c r="E125" s="2"/>
      <x:c r="F125" s="2"/>
      <x:c r="G125" s="2"/>
      <x:c r="H125" s="2"/>
      <x:c r="I125" s="2"/>
      <x:c r="J125" s="2"/>
    </x:row>
    <x:row r="126" ht="15" hidden="0">
      <x:c r="A126" s="2"/>
      <x:c r="B126" s="2"/>
      <x:c r="C126" s="2"/>
      <x:c r="D126" s="2"/>
      <x:c r="E126" s="2"/>
      <x:c r="F126" s="2"/>
      <x:c r="G126" s="2"/>
      <x:c r="H126" s="2"/>
      <x:c r="I126" s="2"/>
      <x:c r="J126" s="2"/>
    </x:row>
    <x:row r="127" ht="15" hidden="0">
      <x:c r="A127" s="2"/>
      <x:c r="B127" s="2"/>
      <x:c r="C127" s="2"/>
      <x:c r="D127" s="2"/>
      <x:c r="E127" s="2"/>
      <x:c r="F127" s="2"/>
      <x:c r="G127" s="2"/>
      <x:c r="H127" s="2"/>
      <x:c r="I127" s="2"/>
      <x:c r="J127" s="2"/>
    </x:row>
    <x:row r="128" ht="15" hidden="0">
      <x:c r="A128" s="2"/>
      <x:c r="B128" s="2"/>
      <x:c r="C128" s="2"/>
      <x:c r="D128" s="2"/>
      <x:c r="E128" s="2"/>
      <x:c r="F128" s="2"/>
      <x:c r="G128" s="2"/>
      <x:c r="H128" s="2"/>
      <x:c r="I128" s="2"/>
      <x:c r="J128" s="2"/>
    </x:row>
    <x:row r="129" ht="15" hidden="0">
      <x:c r="A129" s="2"/>
      <x:c r="B129" s="2"/>
      <x:c r="C129" s="2"/>
      <x:c r="D129" s="2"/>
      <x:c r="E129" s="2"/>
      <x:c r="F129" s="2"/>
      <x:c r="G129" s="2"/>
      <x:c r="H129" s="2"/>
      <x:c r="I129" s="2"/>
      <x:c r="J129" s="2"/>
    </x:row>
    <x:row r="130" ht="15" hidden="0">
      <x:c r="A130" s="2"/>
      <x:c r="B130" s="2"/>
      <x:c r="C130" s="2"/>
      <x:c r="D130" s="2"/>
      <x:c r="E130" s="2"/>
      <x:c r="F130" s="2"/>
      <x:c r="G130" s="2"/>
      <x:c r="H130" s="2"/>
      <x:c r="I130" s="2"/>
      <x:c r="J130" s="2"/>
    </x:row>
    <x:row r="131" ht="15" hidden="0">
      <x:c r="A131" s="2"/>
      <x:c r="B131" s="2"/>
      <x:c r="C131" s="2"/>
      <x:c r="D131" s="2"/>
      <x:c r="E131" s="2"/>
      <x:c r="F131" s="2"/>
      <x:c r="G131" s="2"/>
      <x:c r="H131" s="2"/>
      <x:c r="I131" s="2"/>
      <x:c r="J131" s="2"/>
    </x:row>
    <x:row r="132" ht="15" hidden="0">
      <x:c r="A132" s="2"/>
      <x:c r="B132" s="2"/>
      <x:c r="C132" s="2"/>
      <x:c r="D132" s="2"/>
      <x:c r="E132" s="2"/>
      <x:c r="F132" s="2"/>
      <x:c r="G132" s="2"/>
      <x:c r="H132" s="2"/>
      <x:c r="I132" s="2"/>
      <x:c r="J132" s="2"/>
    </x:row>
    <x:row r="133" ht="15" hidden="0">
      <x:c r="A133" s="2"/>
      <x:c r="B133" s="2"/>
      <x:c r="C133" s="2"/>
      <x:c r="D133" s="2"/>
      <x:c r="E133" s="2"/>
      <x:c r="F133" s="2"/>
      <x:c r="G133" s="2"/>
      <x:c r="H133" s="2"/>
      <x:c r="I133" s="2"/>
      <x:c r="J133" s="2"/>
    </x:row>
    <x:row r="134" ht="15" hidden="0">
      <x:c r="A134" s="2"/>
      <x:c r="B134" s="2"/>
      <x:c r="C134" s="2"/>
      <x:c r="D134" s="2"/>
      <x:c r="E134" s="2"/>
      <x:c r="F134" s="2"/>
      <x:c r="G134" s="2"/>
      <x:c r="H134" s="2"/>
      <x:c r="I134" s="2"/>
      <x:c r="J134" s="2"/>
    </x:row>
    <x:row r="135" ht="15" hidden="0">
      <x:c r="A135" s="2"/>
      <x:c r="B135" s="2"/>
      <x:c r="C135" s="2"/>
      <x:c r="D135" s="2"/>
      <x:c r="E135" s="2"/>
      <x:c r="F135" s="2"/>
      <x:c r="G135" s="2"/>
      <x:c r="H135" s="2"/>
      <x:c r="I135" s="2"/>
      <x:c r="J135" s="2"/>
    </x:row>
    <x:row r="136" ht="15" hidden="0">
      <x:c r="A136" s="2"/>
      <x:c r="B136" s="2"/>
      <x:c r="C136" s="2"/>
      <x:c r="D136" s="2"/>
      <x:c r="E136" s="2"/>
      <x:c r="F136" s="2"/>
      <x:c r="G136" s="2"/>
      <x:c r="H136" s="2"/>
      <x:c r="I136" s="2"/>
      <x:c r="J136" s="2"/>
    </x:row>
    <x:row r="137" ht="15" hidden="0">
      <x:c r="A137" s="2"/>
      <x:c r="B137" s="2"/>
      <x:c r="C137" s="2"/>
      <x:c r="D137" s="2"/>
      <x:c r="E137" s="2"/>
      <x:c r="F137" s="2"/>
      <x:c r="G137" s="2"/>
      <x:c r="H137" s="2"/>
      <x:c r="I137" s="2"/>
      <x:c r="J137" s="2"/>
    </x:row>
    <x:row r="138" ht="15" hidden="0">
      <x:c r="A138" s="2"/>
      <x:c r="B138" s="2"/>
      <x:c r="C138" s="2"/>
      <x:c r="D138" s="2"/>
      <x:c r="E138" s="2"/>
      <x:c r="F138" s="2"/>
      <x:c r="G138" s="2"/>
      <x:c r="H138" s="2"/>
      <x:c r="I138" s="2"/>
      <x:c r="J138" s="2"/>
    </x:row>
    <x:row r="139" ht="15" hidden="0">
      <x:c r="A139" s="2"/>
      <x:c r="B139" s="2"/>
      <x:c r="C139" s="2"/>
      <x:c r="D139" s="2"/>
      <x:c r="E139" s="2"/>
      <x:c r="F139" s="2"/>
      <x:c r="G139" s="2"/>
      <x:c r="H139" s="2"/>
      <x:c r="I139" s="2"/>
      <x:c r="J139" s="2"/>
    </x:row>
    <x:row r="140" ht="15" hidden="0">
      <x:c r="A140" s="2"/>
      <x:c r="B140" s="2"/>
      <x:c r="C140" s="2"/>
      <x:c r="D140" s="2"/>
      <x:c r="E140" s="2"/>
      <x:c r="F140" s="2"/>
      <x:c r="G140" s="2"/>
      <x:c r="H140" s="2"/>
      <x:c r="I140" s="2"/>
      <x:c r="J140" s="2"/>
    </x:row>
  </x:sheetData>
  <x:mergeCells>
    <x:mergeCell ref="A1:J1"/>
    <x:mergeCell ref="A2:J3"/>
    <x:mergeCell ref="B61:J63"/>
    <x:mergeCell ref="B66:J68"/>
    <x:mergeCell ref="B71:J73"/>
  </x:mergeCells>
  <x:pageMargins left="0.7" right="0.7" top="0.75" bottom="0.75" header="0.3" footer="0.3"/>
  <x:legacyDrawing xmlns:r="http://schemas.openxmlformats.org/officeDocument/2006/relationships" r:id="Rf7954badbc2e4ed5"/>
</x:worksheet>
</file>

<file path=xl/worksheets/sheet6.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4"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CASH EARNINGS AND STOCK COMPENSATION</x:v>
      </x:c>
      <x:c r="B1" s="142"/>
      <x:c r="C1" s="142"/>
      <x:c r="D1" s="142"/>
      <x:c r="E1" s="142"/>
      <x:c r="F1" s="142"/>
      <x:c r="G1" s="142"/>
      <x:c r="H1" s="142"/>
      <x:c r="I1" s="92"/>
      <x:c r="J1" s="92"/>
    </x:row>
    <x:row r="2" ht="21" hidden="0" customHeight="1">
      <x:c r="A2" s="144" t="str">
        <x:v>Follow the earnings that can fund reinvestment. Portfolio gains are separated from operating performance.</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90"/>
      <x:c r="J4" s="90"/>
    </x:row>
    <x:row r="5" ht="21" hidden="0" customHeight="1">
      <x:c r="A5" s="90"/>
      <x:c r="B5" s="90" t="str">
        <x:v>H1 revenue</x:v>
      </x:c>
      <x:c r="C5" s="199" t="n">
        <x:f>'Source Inputs'!$C$19</x:f>
        <x:v>177837</x:v>
      </x:c>
      <x:c r="D5" s="90"/>
      <x:c r="E5" s="90"/>
      <x:c r="F5" s="90"/>
      <x:c r="G5" s="90"/>
      <x:c r="H5" s="90"/>
      <x:c r="I5" s="90"/>
      <x:c r="J5" s="90"/>
    </x:row>
    <x:row r="6" ht="21" hidden="0" customHeight="1">
      <x:c r="A6" s="90"/>
      <x:c r="B6" s="90" t="str">
        <x:v>H1 operating margin</x:v>
      </x:c>
      <x:c r="C6" s="198" t="n">
        <x:f>'Source Inputs'!$C$20/'Source Inputs'!$C$19</x:f>
        <x:v>0.6594240793535654</x:v>
      </x:c>
      <x:c r="D6" s="90"/>
      <x:c r="E6" s="90"/>
      <x:c r="F6" s="90"/>
      <x:c r="G6" s="90"/>
      <x:c r="H6" s="90"/>
      <x:c r="I6" s="90"/>
      <x:c r="J6" s="90"/>
    </x:row>
    <x:row r="7" ht="21" hidden="0" customHeight="1">
      <x:c r="A7" s="90"/>
      <x:c r="B7" s="90" t="str">
        <x:v>H1 stock compensation / revenue</x:v>
      </x:c>
      <x:c r="C7" s="245" t="n">
        <x:f>'Source Inputs'!$C$22/'Source Inputs'!$C$19</x:f>
        <x:v>0.02223384335093372</x:v>
      </x:c>
      <x:c r="D7" s="90"/>
      <x:c r="E7" s="90"/>
      <x:c r="F7" s="90"/>
      <x:c r="G7" s="90"/>
      <x:c r="H7" s="90"/>
      <x:c r="I7" s="90"/>
      <x:c r="J7" s="90"/>
    </x:row>
    <x:row r="8" ht="21" hidden="0" customHeight="1">
      <x:c r="A8" s="90"/>
      <x:c r="B8" s="90" t="str">
        <x:v>H1 company free cash flow</x:v>
      </x:c>
      <x:c r="C8" s="199" t="n">
        <x:f>'Source Inputs'!$C$44</x:f>
        <x:v>69895</x:v>
      </x:c>
      <x:c r="D8" s="90"/>
      <x:c r="E8" s="90"/>
      <x:c r="F8" s="90"/>
      <x:c r="G8" s="90"/>
      <x:c r="H8" s="90"/>
      <x:c r="I8" s="90"/>
      <x:c r="J8" s="90"/>
    </x:row>
    <x:row r="9" ht="21" hidden="0" customHeight="1">
      <x:c r="A9" s="90"/>
      <x:c r="B9" s="90" t="str">
        <x:v>H1 equity investment gains</x:v>
      </x:c>
      <x:c r="C9" s="197" t="n">
        <x:f>'Source Inputs'!$C$26</x:f>
        <x:v>23707</x:v>
      </x:c>
      <x:c r="D9" s="90"/>
      <x:c r="E9" s="90"/>
      <x:c r="F9" s="90"/>
      <x:c r="G9" s="90"/>
      <x:c r="H9" s="90"/>
      <x:c r="I9" s="90"/>
      <x:c r="J9" s="90"/>
    </x:row>
    <x:row r="10" ht="21" hidden="0" customHeight="1">
      <x:c r="A10" s="90"/>
      <x:c r="B10" s="90" t="str">
        <x:v>Implied Q4 sales at planning anchor</x:v>
      </x:c>
      <x:c r="C10" s="197" t="n">
        <x:f aca="0">'Operating Forecast'!C9-'Source Inputs'!$C$19-'Source Inputs'!$C$36</x:f>
        <x:v>125476.93</x:v>
      </x:c>
      <x:c r="D10" s="90"/>
      <x:c r="E10" s="90"/>
      <x:c r="F10" s="90"/>
      <x:c r="G10" s="90"/>
      <x:c r="H10" s="90"/>
      <x:c r="I10" s="90"/>
      <x:c r="J10" s="90"/>
    </x:row>
    <x:row r="11" ht="21" hidden="0" customHeight="1">
      <x:c r="A11" s="90"/>
      <x:c r="B11" s="90" t="str">
        <x:v>Implied Q4 / Q3 guidance growth</x:v>
      </x:c>
      <x:c r="C11" s="198" t="n">
        <x:f aca="0">C10/'Source Inputs'!$C$36-1</x:f>
        <x:v>0.1618234259259259</x:v>
      </x:c>
      <x:c r="D11" s="90"/>
      <x:c r="E11" s="90"/>
      <x:c r="F11" s="90"/>
      <x:c r="G11" s="90"/>
      <x:c r="H11" s="90"/>
      <x:c r="I11" s="90"/>
      <x:c r="J11" s="90"/>
    </x:row>
    <x:row r="12" ht="21" hidden="0" customHeight="1">
      <x:c r="A12" s="90"/>
      <x:c r="B12" s="90"/>
      <x:c r="C12" s="137">
        <x:f aca="0"/>
      </x:c>
      <x:c r="D12" s="90"/>
      <x:c r="E12" s="90"/>
      <x:c r="F12" s="90"/>
      <x:c r="G12" s="90"/>
      <x:c r="H12" s="90"/>
      <x:c r="I12" s="90"/>
      <x:c r="J12" s="90"/>
    </x:row>
    <x:row r="13" ht="21" hidden="0" customHeight="1">
      <x:c r="A13" s="90"/>
      <x:c r="B13" s="90"/>
      <x:c r="C13" s="90"/>
      <x:c r="D13" s="90"/>
      <x:c r="E13" s="90"/>
      <x:c r="F13" s="90"/>
      <x:c r="G13" s="90"/>
      <x:c r="H13" s="90"/>
      <x:c r="I13" s="90"/>
      <x:c r="J13" s="90"/>
    </x:row>
    <x:row r="14" ht="21" hidden="0" customHeight="1">
      <x:c r="A14" s="115"/>
      <x:c r="B14" s="115"/>
      <x:c r="C14" s="115" t="str">
        <x:v>H2 FY2027E</x:v>
      </x:c>
      <x:c r="D14" s="115" t="str">
        <x:v>FY2028E</x:v>
      </x:c>
      <x:c r="E14" s="115" t="str">
        <x:v>FY2029E</x:v>
      </x:c>
      <x:c r="F14" s="115" t="str">
        <x:v>FY2030E</x:v>
      </x:c>
      <x:c r="G14" s="115" t="str">
        <x:v>FY2031E</x:v>
      </x:c>
      <x:c r="H14" s="115"/>
      <x:c r="I14" s="90"/>
      <x:c r="J14" s="90"/>
    </x:row>
    <x:row r="15" ht="21" hidden="0" customHeight="1">
      <x:c r="A15" s="90"/>
      <x:c r="B15" s="90" t="str">
        <x:v>Company-style free cash flow</x:v>
      </x:c>
      <x:c r="C15" s="199" t="n">
        <x:f>'Operating Forecast'!C35</x:f>
        <x:v>128964.86923984927</x:v>
      </x:c>
      <x:c r="D15" s="199" t="n">
        <x:f>'Operating Forecast'!D35</x:f>
        <x:v>346096.2547572702</x:v>
      </x:c>
      <x:c r="E15" s="199" t="n">
        <x:f>'Operating Forecast'!E35</x:f>
        <x:v>480189.4305810688</x:v>
      </x:c>
      <x:c r="F15" s="199" t="n">
        <x:f>'Operating Forecast'!F35</x:f>
        <x:v>575362.7480960601</x:v>
      </x:c>
      <x:c r="G15" s="199" t="n">
        <x:f>'Operating Forecast'!G35</x:f>
        <x:v>692316.0229480223</x:v>
      </x:c>
      <x:c r="H15" s="90"/>
      <x:c r="I15" s="90"/>
      <x:c r="J15" s="90"/>
    </x:row>
    <x:row r="16" ht="21" hidden="0" customHeight="1">
      <x:c r="A16" s="90"/>
      <x:c r="B16" s="90" t="str">
        <x:v>SBC cash-equivalent cost</x:v>
      </x:c>
      <x:c r="C16" s="199" t="n">
        <x:f>'Operating Forecast'!C13</x:f>
        <x:v>-8385.417899999999</x:v>
      </x:c>
      <x:c r="D16" s="199" t="n">
        <x:f>'Operating Forecast'!D13</x:f>
        <x:v>-20334.8469</x:v>
      </x:c>
      <x:c r="E16" s="199" t="n">
        <x:f>'Operating Forecast'!E13</x:f>
        <x:v>-26462.0979</x:v>
      </x:c>
      <x:c r="F16" s="199" t="n">
        <x:f>'Operating Forecast'!F13</x:f>
        <x:v>-30300.6012</x:v>
      </x:c>
      <x:c r="G16" s="199" t="n">
        <x:f>'Operating Forecast'!G13</x:f>
        <x:v>-36209.230800000005</x:v>
      </x:c>
      <x:c r="H16" s="90"/>
      <x:c r="I16" s="90"/>
      <x:c r="J16" s="90"/>
    </x:row>
    <x:row r="17" ht="21" hidden="0" customHeight="1">
      <x:c r="A17" s="90"/>
      <x:c r="B17" s="90" t="str">
        <x:v>SBC-burdened free cash flow</x:v>
      </x:c>
      <x:c r="C17" s="102" t="n">
        <x:f>SUM(C15:C16)</x:f>
        <x:v>120579.45133984927</x:v>
      </x:c>
      <x:c r="D17" s="102" t="n">
        <x:f>SUM(D15:D16)</x:f>
        <x:v>325761.4078572702</x:v>
      </x:c>
      <x:c r="E17" s="102" t="n">
        <x:f>SUM(E15:E16)</x:f>
        <x:v>453727.3326810688</x:v>
      </x:c>
      <x:c r="F17" s="102" t="n">
        <x:f>SUM(F15:F16)</x:f>
        <x:v>545062.1468960601</x:v>
      </x:c>
      <x:c r="G17" s="102" t="n">
        <x:f>SUM(G15:G16)</x:f>
        <x:v>656106.7921480223</x:v>
      </x:c>
      <x:c r="H17" s="90"/>
      <x:c r="I17" s="90"/>
      <x:c r="J17" s="90"/>
    </x:row>
    <x:row r="18" ht="21" hidden="0" customHeight="1">
      <x:c r="A18" s="90"/>
      <x:c r="B18" s="90" t="str">
        <x:v>After-tax net interest</x:v>
      </x:c>
      <x:c r="C18" s="199" t="n">
        <x:f>'Operating Forecast'!C20+'Operating Forecast'!C21+'Operating Forecast'!C23+MAX(0,'Operating Forecast'!C14)*'Assumptions'!$F$12</x:f>
        <x:v>132.09331684931385</x:v>
      </x:c>
      <x:c r="D18" s="199" t="n">
        <x:f>'Operating Forecast'!D20+'Operating Forecast'!D21+'Operating Forecast'!D23+MAX(0,'Operating Forecast'!D14)*'Assumptions'!$F$12</x:f>
        <x:v>1885.748304270266</x:v>
      </x:c>
      <x:c r="E18" s="199" t="n">
        <x:f>'Operating Forecast'!E20+'Operating Forecast'!E21+'Operating Forecast'!E23+MAX(0,'Operating Forecast'!E14)*'Assumptions'!$F$12</x:f>
        <x:v>8772.776258068887</x:v>
      </x:c>
      <x:c r="F18" s="199" t="n">
        <x:f>'Operating Forecast'!F20+'Operating Forecast'!F21+'Operating Forecast'!F23+MAX(0,'Operating Forecast'!F14)*'Assumptions'!$F$12</x:f>
        <x:v>19980.180452060144</x:v>
      </x:c>
      <x:c r="G18" s="199" t="n">
        <x:f>'Operating Forecast'!G20+'Operating Forecast'!G21+'Operating Forecast'!G23+MAX(0,'Operating Forecast'!G14)*'Assumptions'!$F$12</x:f>
        <x:v>33966.87355202249</x:v>
      </x:c>
      <x:c r="H18" s="90"/>
      <x:c r="I18" s="90"/>
      <x:c r="J18" s="90"/>
    </x:row>
    <x:row r="19" ht="21" hidden="0" customHeight="1">
      <x:c r="A19" s="90"/>
      <x:c r="B19" s="90" t="str">
        <x:v>Unlevered cash flow before investments</x:v>
      </x:c>
      <x:c r="C19" s="102" t="n">
        <x:f>C17-C18</x:f>
        <x:v>120447.35802299995</x:v>
      </x:c>
      <x:c r="D19" s="102" t="n">
        <x:f>D17-D18</x:f>
        <x:v>323875.65955299995</x:v>
      </x:c>
      <x:c r="E19" s="102" t="n">
        <x:f>E17-E18</x:f>
        <x:v>444954.55642299994</x:v>
      </x:c>
      <x:c r="F19" s="102" t="n">
        <x:f>F17-F18</x:f>
        <x:v>525081.9664439999</x:v>
      </x:c>
      <x:c r="G19" s="102" t="n">
        <x:f>G17-G18</x:f>
        <x:v>622139.9185959998</x:v>
      </x:c>
      <x:c r="H19" s="90"/>
      <x:c r="I19" s="90"/>
      <x:c r="J19" s="90"/>
    </x:row>
    <x:row r="20" ht="21" hidden="0" customHeight="1">
      <x:c r="A20" s="115"/>
      <x:c r="B20" s="115" t="str">
        <x:v>Cash commitments to investments</x:v>
      </x:c>
      <x:c r="C20" s="200" t="n">
        <x:f>'Operating Forecast'!C30</x:f>
        <x:v>-18000</x:v>
      </x:c>
      <x:c r="D20" s="200" t="n">
        <x:f>'Operating Forecast'!D30</x:f>
        <x:v>-15930.3</x:v>
      </x:c>
      <x:c r="E20" s="200" t="n">
        <x:f>'Operating Forecast'!E30</x:f>
        <x:v>-2000</x:v>
      </x:c>
      <x:c r="F20" s="200" t="n">
        <x:f>'Operating Forecast'!F30</x:f>
        <x:v>-2000</x:v>
      </x:c>
      <x:c r="G20" s="200" t="n">
        <x:f>'Operating Forecast'!G30</x:f>
        <x:v>0</x:v>
      </x:c>
      <x:c r="H20" s="115"/>
      <x:c r="I20" s="90"/>
      <x:c r="J20" s="90"/>
    </x:row>
    <x:row r="21" ht="21" hidden="0" customHeight="1">
      <x:c r="A21" s="90"/>
      <x:c r="B21" s="115"/>
      <x:c r="C21" s="118"/>
      <x:c r="D21" s="118"/>
      <x:c r="E21" s="118"/>
      <x:c r="F21" s="118"/>
      <x:c r="G21" s="118"/>
      <x:c r="H21" s="90"/>
      <x:c r="I21" s="90"/>
      <x:c r="J21" s="90"/>
    </x:row>
    <x:row r="22" ht="21" hidden="0" customHeight="1">
      <x:c r="A22" s="90"/>
      <x:c r="B22" s="90" t="str">
        <x:v>DCF unlevered cash flow</x:v>
      </x:c>
      <x:c r="C22" s="197" t="n">
        <x:f aca="0">'Operating Forecast'!C31</x:f>
        <x:v>102447.35802299996</x:v>
      </x:c>
      <x:c r="D22" s="197" t="n">
        <x:f aca="0">'Operating Forecast'!D31</x:f>
        <x:v>307945.359553</x:v>
      </x:c>
      <x:c r="E22" s="197" t="n">
        <x:f aca="0">'Operating Forecast'!E31</x:f>
        <x:v>442954.55642299994</x:v>
      </x:c>
      <x:c r="F22" s="197" t="n">
        <x:f aca="0">'Operating Forecast'!F31</x:f>
        <x:v>523081.9664439999</x:v>
      </x:c>
      <x:c r="G22" s="197" t="n">
        <x:f aca="0">'Operating Forecast'!G31</x:f>
        <x:v>622139.9185959998</x:v>
      </x:c>
      <x:c r="H22" s="90"/>
      <x:c r="I22" s="90"/>
      <x:c r="J22" s="90"/>
    </x:row>
    <x:row r="23" ht="21" hidden="0" customHeight="1">
      <x:c r="A23" s="90"/>
      <x:c r="B23" s="90" t="str">
        <x:v>Reconciliation difference</x:v>
      </x:c>
      <x:c r="C23" s="146" t="n">
        <x:f aca="0">C19+C20-C22</x:f>
        <x:v>-1.4551915228366852e-11</x:v>
      </x:c>
      <x:c r="D23" s="146" t="n">
        <x:f aca="0">D19+D20-D22</x:f>
        <x:v>-5.820766091346741e-11</x:v>
      </x:c>
      <x:c r="E23" s="146" t="n">
        <x:f aca="0">E19+E20-E22</x:f>
        <x:v>0</x:v>
      </x:c>
      <x:c r="F23" s="146" t="n">
        <x:f aca="0">F19+F20-F22</x:f>
        <x:v>0</x:v>
      </x:c>
      <x:c r="G23" s="146" t="n">
        <x:f aca="0">G19+G20-G22</x:f>
        <x:v>0</x:v>
      </x:c>
      <x:c r="H23" s="90"/>
      <x:c r="I23" s="90"/>
      <x:c r="J23" s="90"/>
    </x:row>
    <x:row r="24" ht="21" hidden="0" customHeight="1">
      <x:c r="A24" s="90"/>
      <x:c r="B24" s="115"/>
      <x:c r="C24" s="125">
        <x:f aca="0"/>
      </x:c>
      <x:c r="D24" s="125">
        <x:f aca="0"/>
      </x:c>
      <x:c r="E24" s="125">
        <x:f aca="0"/>
      </x:c>
      <x:c r="F24" s="125">
        <x:f aca="0"/>
      </x:c>
      <x:c r="G24" s="125">
        <x:f aca="0"/>
      </x:c>
      <x:c r="H24" s="90"/>
      <x:c r="I24" s="90"/>
      <x:c r="J24" s="90"/>
    </x:row>
    <x:row r="25" ht="21" hidden="0" customHeight="1">
      <x:c r="A25" s="90"/>
      <x:c r="B25" s="90"/>
      <x:c r="C25" s="136">
        <x:f aca="0"/>
      </x:c>
      <x:c r="D25" s="136">
        <x:f aca="0"/>
      </x:c>
      <x:c r="E25" s="136">
        <x:f aca="0"/>
      </x:c>
      <x:c r="F25" s="136">
        <x:f aca="0"/>
      </x:c>
      <x:c r="G25" s="136">
        <x:f aca="0"/>
      </x:c>
      <x:c r="H25" s="90"/>
      <x:c r="I25" s="90"/>
      <x:c r="J25" s="90"/>
    </x:row>
    <x:row r="26" ht="21" hidden="0" customHeight="1">
      <x:c r="A26" s="90"/>
      <x:c r="B26" s="115"/>
      <x:c r="C26" s="125">
        <x:f aca="0"/>
      </x:c>
      <x:c r="D26" s="125">
        <x:f aca="0"/>
      </x:c>
      <x:c r="E26" s="125">
        <x:f aca="0"/>
      </x:c>
      <x:c r="F26" s="125">
        <x:f aca="0"/>
      </x:c>
      <x:c r="G26" s="125">
        <x:f aca="0"/>
      </x:c>
      <x:c r="H26" s="90"/>
      <x:c r="I26" s="90"/>
      <x:c r="J26" s="90"/>
    </x:row>
    <x:row r="27" ht="21" hidden="0" customHeight="1">
      <x:c r="A27" s="90"/>
      <x:c r="B27" s="111" t="str">
        <x:v>Starting in FY2027, NVIDIA’s non-GAAP measures include stock compensation. The model also keeps SBC as an expense. Do not remove it a second time from a reported metric that already includes it.</x:v>
      </x:c>
      <x:c r="C27" s="251">
        <x:f aca="0"/>
      </x:c>
      <x:c r="D27" s="251">
        <x:f aca="0"/>
      </x:c>
      <x:c r="E27" s="251">
        <x:f aca="0"/>
      </x:c>
      <x:c r="F27" s="251">
        <x:f aca="0"/>
      </x:c>
      <x:c r="G27" s="251">
        <x:f aca="0"/>
      </x:c>
      <x:c r="H27" s="111"/>
      <x:c r="I27" s="111"/>
      <x:c r="J27" s="111"/>
    </x:row>
    <x:row r="28" ht="21" hidden="0" customHeight="1">
      <x:c r="A28" s="90"/>
      <x:c r="B28" s="232"/>
      <x:c r="C28" s="111"/>
      <x:c r="D28" s="111"/>
      <x:c r="E28" s="111"/>
      <x:c r="F28" s="111"/>
      <x:c r="G28" s="111"/>
      <x:c r="H28" s="111"/>
      <x:c r="I28" s="111"/>
      <x:c r="J28" s="111"/>
    </x:row>
    <x:row r="29" ht="21" hidden="0" customHeight="1">
      <x:c r="A29" s="90"/>
      <x:c r="B29" s="111"/>
      <x:c r="C29" s="111"/>
      <x:c r="D29" s="111"/>
      <x:c r="E29" s="111"/>
      <x:c r="F29" s="111"/>
      <x:c r="G29" s="111"/>
      <x:c r="H29" s="111"/>
      <x:c r="I29" s="111"/>
      <x:c r="J29" s="111"/>
    </x:row>
    <x:row r="30" ht="21" hidden="0" customHeight="1">
      <x:c r="A30" s="90"/>
      <x:c r="B30" s="90"/>
      <x:c r="C30" s="90"/>
      <x:c r="D30" s="90"/>
      <x:c r="E30" s="90"/>
      <x:c r="F30" s="90"/>
      <x:c r="G30" s="90"/>
      <x:c r="H30" s="90"/>
      <x:c r="I30" s="90"/>
      <x:c r="J30" s="90"/>
    </x:row>
    <x:row r="31" ht="21" hidden="0" customHeight="1">
      <x:c r="A31" s="90"/>
      <x:c r="B31" s="90"/>
      <x:c r="C31" s="90"/>
      <x:c r="D31" s="90"/>
      <x:c r="E31" s="90"/>
      <x:c r="F31" s="90"/>
      <x:c r="G31" s="90"/>
      <x:c r="H31" s="90"/>
      <x:c r="I31" s="90"/>
      <x:c r="J31" s="90"/>
    </x:row>
    <x:row r="32" ht="21" hidden="0" customHeight="1">
      <x:c r="A32" s="90"/>
      <x:c r="B32" s="111" t="str">
        <x:v>Practical diligence: how much customer demand is already funded? Who bears cancellation risk on capacity? Does the revenue forecast require a continuing step-up in customer spending? What happens to margin as systems and product generations change?</x:v>
      </x:c>
      <x:c r="C32" s="111"/>
      <x:c r="D32" s="111"/>
      <x:c r="E32" s="111"/>
      <x:c r="F32" s="111"/>
      <x:c r="G32" s="111"/>
      <x:c r="H32" s="111"/>
      <x:c r="I32" s="111"/>
      <x:c r="J32" s="111"/>
    </x:row>
    <x:row r="33" ht="21" hidden="0" customHeight="1">
      <x:c r="A33" s="90"/>
      <x:c r="B33" s="111"/>
      <x:c r="C33" s="111"/>
      <x:c r="D33" s="111"/>
      <x:c r="E33" s="111"/>
      <x:c r="F33" s="111"/>
      <x:c r="G33" s="111"/>
      <x:c r="H33" s="111"/>
      <x:c r="I33" s="111"/>
      <x:c r="J33" s="111"/>
    </x:row>
    <x:row r="34" ht="21" hidden="0" customHeight="1">
      <x:c r="A34" s="90"/>
      <x:c r="B34" s="111"/>
      <x:c r="C34" s="111"/>
      <x:c r="D34" s="111"/>
      <x:c r="E34" s="111"/>
      <x:c r="F34" s="111"/>
      <x:c r="G34" s="111"/>
      <x:c r="H34" s="111"/>
      <x:c r="I34" s="111"/>
      <x:c r="J34" s="111"/>
    </x:row>
    <x:row r="35" ht="21" hidden="0" customHeight="1">
      <x:c r="A35" s="90"/>
      <x:c r="B35" s="90"/>
      <x:c r="C35" s="90"/>
      <x:c r="D35" s="90"/>
      <x:c r="E35" s="90"/>
      <x:c r="F35" s="90"/>
      <x:c r="G35" s="90"/>
      <x:c r="H35" s="90"/>
      <x:c r="I35" s="90"/>
      <x:c r="J35" s="90"/>
    </x:row>
    <x:row r="36" ht="21" hidden="0" customHeight="1">
      <x:c r="A36" s="90"/>
      <x:c r="B36" s="90"/>
      <x:c r="C36" s="90"/>
      <x:c r="D36" s="90"/>
      <x:c r="E36" s="90"/>
      <x:c r="F36" s="90"/>
      <x:c r="G36" s="90"/>
      <x:c r="H36" s="90"/>
      <x:c r="I36" s="90"/>
      <x:c r="J36" s="90"/>
    </x:row>
    <x:row r="37" ht="21" hidden="0" customHeight="1">
      <x:c r="A37" s="90"/>
      <x:c r="B37" s="111" t="str">
        <x:v>Receivables, inventory and supply commitments matter alongside reported margins. A business can report rapid growth while committing cash faster than customers pay it back.</x:v>
      </x:c>
      <x:c r="C37" s="111"/>
      <x:c r="D37" s="111"/>
      <x:c r="E37" s="111"/>
      <x:c r="F37" s="111"/>
      <x:c r="G37" s="111"/>
      <x:c r="H37" s="111"/>
      <x:c r="I37" s="111"/>
      <x:c r="J37" s="111"/>
    </x:row>
    <x:row r="38" ht="21" hidden="0" customHeight="1">
      <x:c r="A38" s="90"/>
      <x:c r="B38" s="111"/>
      <x:c r="C38" s="111"/>
      <x:c r="D38" s="111"/>
      <x:c r="E38" s="111"/>
      <x:c r="F38" s="111"/>
      <x:c r="G38" s="111"/>
      <x:c r="H38" s="111"/>
      <x:c r="I38" s="111"/>
      <x:c r="J38" s="111"/>
    </x:row>
    <x:row r="39" ht="21" hidden="0" customHeight="1">
      <x:c r="A39" s="90"/>
      <x:c r="B39" s="111"/>
      <x:c r="C39" s="111"/>
      <x:c r="D39" s="111"/>
      <x:c r="E39" s="111"/>
      <x:c r="F39" s="111"/>
      <x:c r="G39" s="111"/>
      <x:c r="H39" s="111"/>
      <x:c r="I39" s="111"/>
      <x:c r="J39" s="111"/>
    </x:row>
    <x:row r="40" ht="21" hidden="0" customHeight="1">
      <x:c r="A40" s="90"/>
      <x:c r="B40" s="90"/>
      <x:c r="C40" s="90"/>
      <x:c r="D40" s="90"/>
      <x:c r="E40" s="90"/>
      <x:c r="F40" s="90"/>
      <x:c r="G40" s="90"/>
      <x:c r="H40" s="90"/>
      <x:c r="I40" s="90"/>
      <x:c r="J40" s="90"/>
    </x:row>
    <x:row r="41" ht="21" hidden="0" customHeight="1">
      <x:c r="A41" s="90"/>
      <x:c r="B41" s="90"/>
      <x:c r="C41" s="90"/>
      <x:c r="D41" s="90"/>
      <x:c r="E41" s="90"/>
      <x:c r="F41" s="90"/>
      <x:c r="G41" s="90"/>
      <x:c r="H41" s="90"/>
      <x:c r="I41" s="90"/>
      <x:c r="J41" s="90"/>
    </x:row>
    <x:row r="42" ht="21" hidden="0" customHeight="1">
      <x:c r="A42" s="90"/>
      <x:c r="B42" s="90"/>
      <x:c r="C42" s="90"/>
      <x:c r="D42" s="90"/>
      <x:c r="E42" s="90"/>
      <x:c r="F42" s="90"/>
      <x:c r="G42" s="90"/>
      <x:c r="H42" s="90"/>
      <x:c r="I42" s="90"/>
      <x:c r="J42" s="90"/>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90"/>
      <x:c r="C45" s="90"/>
      <x:c r="D45" s="90"/>
      <x:c r="E45" s="90"/>
      <x:c r="F45" s="90"/>
      <x:c r="G45" s="90"/>
      <x:c r="H45" s="90"/>
      <x:c r="I45" s="90"/>
      <x:c r="J45" s="90"/>
    </x:row>
    <x:row r="46" ht="21" hidden="0" customHeight="1">
      <x:c r="A46" s="90"/>
      <x:c r="B46" s="90"/>
      <x:c r="C46" s="90"/>
      <x:c r="D46" s="90"/>
      <x:c r="E46" s="90"/>
      <x:c r="F46" s="90"/>
      <x:c r="G46" s="90"/>
      <x:c r="H46" s="90"/>
      <x:c r="I46" s="90"/>
      <x:c r="J46" s="90"/>
    </x:row>
    <x:row r="47" ht="21" hidden="0" customHeight="1">
      <x:c r="A47" s="90"/>
      <x:c r="B47" s="90"/>
      <x:c r="C47" s="90"/>
      <x:c r="D47" s="90"/>
      <x:c r="E47" s="90"/>
      <x:c r="F47" s="90"/>
      <x:c r="G47" s="90"/>
      <x:c r="H47" s="90"/>
      <x:c r="I47" s="90"/>
      <x:c r="J47" s="90"/>
    </x:row>
    <x:row r="48" ht="21" hidden="0" customHeight="1">
      <x:c r="A48" s="90"/>
      <x:c r="B48" s="90"/>
      <x:c r="C48" s="90"/>
      <x:c r="D48" s="90"/>
      <x:c r="E48" s="90"/>
      <x:c r="F48" s="90"/>
      <x:c r="G48" s="90"/>
      <x:c r="H48" s="90"/>
      <x:c r="I48" s="90"/>
      <x:c r="J48" s="90"/>
    </x:row>
    <x:row r="49" ht="21" hidden="0" customHeight="1">
      <x:c r="A49" s="90"/>
      <x:c r="B49" s="90"/>
      <x:c r="C49" s="90"/>
      <x:c r="D49" s="90"/>
      <x:c r="E49" s="90"/>
      <x:c r="F49" s="90"/>
      <x:c r="G49" s="90"/>
      <x:c r="H49" s="90"/>
      <x:c r="I49" s="90"/>
      <x:c r="J49" s="90"/>
    </x:row>
    <x:row r="50" ht="15" hidden="0">
      <x:c r="A50" s="2"/>
      <x:c r="B50" s="2"/>
      <x:c r="C50" s="2"/>
      <x:c r="D50" s="2"/>
      <x:c r="E50" s="2"/>
      <x:c r="F50" s="2"/>
      <x:c r="G50" s="2"/>
      <x:c r="H50" s="2"/>
      <x:c r="I50" s="2"/>
      <x:c r="J50" s="2"/>
    </x:row>
    <x:row r="51" ht="15" hidden="0">
      <x:c r="A51" s="2"/>
      <x:c r="B51" s="2"/>
      <x:c r="C51" s="2"/>
      <x:c r="D51" s="2"/>
      <x:c r="E51" s="2"/>
      <x:c r="F51" s="2"/>
      <x:c r="G51" s="2"/>
      <x:c r="H51" s="2"/>
      <x:c r="I51" s="2"/>
      <x:c r="J51" s="2"/>
    </x:row>
    <x:row r="52" ht="15" hidden="0">
      <x:c r="A52" s="2"/>
      <x:c r="B52" s="2"/>
      <x:c r="C52" s="2"/>
      <x:c r="D52" s="2"/>
      <x:c r="E52" s="2"/>
      <x:c r="F52" s="2"/>
      <x:c r="G52" s="2"/>
      <x:c r="H52" s="2"/>
      <x:c r="I52" s="2"/>
      <x:c r="J52" s="2"/>
    </x:row>
    <x:row r="53" ht="15" hidden="0">
      <x:c r="A53" s="2"/>
      <x:c r="B53" s="2"/>
      <x:c r="C53" s="2"/>
      <x:c r="D53" s="2"/>
      <x:c r="E53" s="2"/>
      <x:c r="F53" s="2"/>
      <x:c r="G53" s="2"/>
      <x:c r="H53" s="2"/>
      <x:c r="I53" s="2"/>
      <x:c r="J53" s="2"/>
    </x:row>
    <x:row r="54" ht="15" hidden="0">
      <x:c r="A54" s="2"/>
      <x:c r="B54" s="2"/>
      <x:c r="C54" s="2"/>
      <x:c r="D54" s="2"/>
      <x:c r="E54" s="2"/>
      <x:c r="F54" s="2"/>
      <x:c r="G54" s="2"/>
      <x:c r="H54" s="2"/>
      <x:c r="I54" s="2"/>
      <x:c r="J54" s="2"/>
    </x:row>
    <x:row r="55" ht="15" hidden="0">
      <x:c r="A55" s="2"/>
      <x:c r="B55" s="2"/>
      <x:c r="C55" s="2"/>
      <x:c r="D55" s="2"/>
      <x:c r="E55" s="2"/>
      <x:c r="F55" s="2"/>
      <x:c r="G55" s="2"/>
      <x:c r="H55" s="2"/>
      <x:c r="I55" s="2"/>
      <x:c r="J55" s="2"/>
    </x:row>
  </x:sheetData>
  <x:mergeCells>
    <x:mergeCell ref="A1:J1"/>
    <x:mergeCell ref="A2:J3"/>
    <x:mergeCell ref="B27:J29"/>
    <x:mergeCell ref="B32:J34"/>
    <x:mergeCell ref="B37:J39"/>
  </x:mergeCells>
  <x:pageMargins left="0.7" right="0.7" top="0.75" bottom="0.75" header="0.3" footer="0.3"/>
  <x:legacyDrawing xmlns:r="http://schemas.openxmlformats.org/officeDocument/2006/relationships" r:id="R403e6efa59de4c27"/>
</x:worksheet>
</file>

<file path=xl/worksheets/sheet7.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4"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TRADING COMPARABLES</x:v>
      </x:c>
      <x:c r="B1" s="142"/>
      <x:c r="C1" s="142"/>
      <x:c r="D1" s="142"/>
      <x:c r="E1" s="142"/>
      <x:c r="F1" s="142"/>
      <x:c r="G1" s="142"/>
      <x:c r="H1" s="142"/>
      <x:c r="I1" s="142"/>
      <x:c r="J1" s="142"/>
      <x:c r="K1" s="2"/>
      <x:c r="L1" s="2"/>
    </x:row>
    <x:row r="2" ht="21" hidden="0" customHeight="1">
      <x:c r="A2" s="144" t="str">
        <x:v>Peer snapshots are supplied assumptions. Match accounting definitions and growth before choosing a multiple.</x:v>
      </x:c>
      <x:c r="B2" s="144"/>
      <x:c r="C2" s="144"/>
      <x:c r="D2" s="144"/>
      <x:c r="E2" s="144"/>
      <x:c r="F2" s="144"/>
      <x:c r="G2" s="144"/>
      <x:c r="H2" s="144"/>
      <x:c r="I2" s="144"/>
      <x:c r="J2" s="144"/>
      <x:c r="K2" s="2"/>
      <x:c r="L2" s="2"/>
    </x:row>
    <x:row r="3" ht="21" hidden="0" customHeight="1">
      <x:c r="A3" s="94"/>
      <x:c r="B3" s="94"/>
      <x:c r="C3" s="94"/>
      <x:c r="D3" s="94"/>
      <x:c r="E3" s="94"/>
      <x:c r="F3" s="94"/>
      <x:c r="G3" s="94"/>
      <x:c r="H3" s="94"/>
      <x:c r="I3" s="94"/>
      <x:c r="J3" s="94"/>
      <x:c r="K3" s="2"/>
      <x:c r="L3" s="2"/>
    </x:row>
    <x:row r="4" ht="21" hidden="0" customHeight="1">
      <x:c r="A4" s="115"/>
      <x:c r="B4" s="115"/>
      <x:c r="C4" s="115"/>
      <x:c r="D4" s="115"/>
      <x:c r="E4" s="115"/>
      <x:c r="F4" s="115"/>
      <x:c r="G4" s="115"/>
      <x:c r="H4" s="115"/>
      <x:c r="I4" s="115"/>
      <x:c r="J4" s="115"/>
      <x:c r="K4" s="2"/>
      <x:c r="L4" s="2"/>
    </x:row>
    <x:row r="5" ht="21" hidden="0" customHeight="1">
      <x:c r="A5" s="90"/>
      <x:c r="B5" s="131" t="str">
        <x:v>Company</x:v>
      </x:c>
      <x:c r="C5" s="131" t="str">
        <x:v>Ticker</x:v>
      </x:c>
      <x:c r="D5" s="118" t="str">
        <x:v>Enterprise value</x:v>
      </x:c>
      <x:c r="E5" s="118" t="str">
        <x:v>NTM EBITDA</x:v>
      </x:c>
      <x:c r="F5" s="118" t="str">
        <x:v>EV / EBITDA</x:v>
      </x:c>
      <x:c r="G5" s="90"/>
      <x:c r="H5" s="90"/>
      <x:c r="I5" s="90"/>
      <x:c r="J5" s="90"/>
      <x:c r="K5" s="2"/>
      <x:c r="L5" s="2"/>
    </x:row>
    <x:row r="6" ht="21" hidden="0" customHeight="1">
      <x:c r="A6" s="90"/>
      <x:c r="B6" s="90" t="str">
        <x:v>Broadcom</x:v>
      </x:c>
      <x:c r="C6" s="90" t="str">
        <x:v>AVGO</x:v>
      </x:c>
      <x:c r="D6" s="148" t="n">
        <x:v>1738158.2</x:v>
      </x:c>
      <x:c r="E6" s="148" t="n">
        <x:v>104250.78</x:v>
      </x:c>
      <x:c r="F6" s="154" t="n">
        <x:f aca="0">D6/E6</x:f>
        <x:v>16.672855589186</x:v>
      </x:c>
      <x:c r="G6" s="90"/>
      <x:c r="H6" s="90"/>
      <x:c r="I6" s="90"/>
      <x:c r="J6" s="90"/>
      <x:c r="K6" s="2"/>
      <x:c r="L6" s="2"/>
    </x:row>
    <x:row r="7" ht="21" hidden="0" customHeight="1">
      <x:c r="A7" s="90"/>
      <x:c r="B7" s="90" t="str">
        <x:v>Adv. Micro Devices</x:v>
      </x:c>
      <x:c r="C7" s="90" t="str">
        <x:v>AMD</x:v>
      </x:c>
      <x:c r="D7" s="148" t="n">
        <x:v>770786.1</x:v>
      </x:c>
      <x:c r="E7" s="148" t="n">
        <x:v>21424.61</x:v>
      </x:c>
      <x:c r="F7" s="154" t="n">
        <x:f aca="0">D7/E7</x:f>
        <x:v>35.97666888685488</x:v>
      </x:c>
      <x:c r="G7" s="90"/>
      <x:c r="H7" s="90"/>
      <x:c r="I7" s="90"/>
      <x:c r="J7" s="90"/>
      <x:c r="K7" s="2"/>
      <x:c r="L7" s="2"/>
    </x:row>
    <x:row r="8" ht="21" hidden="0" customHeight="1">
      <x:c r="A8" s="90"/>
      <x:c r="B8" s="90" t="str">
        <x:v>Microsoft</x:v>
      </x:c>
      <x:c r="C8" s="90" t="str">
        <x:v>MSFT</x:v>
      </x:c>
      <x:c r="D8" s="148" t="n">
        <x:v>3762515.1</x:v>
      </x:c>
      <x:c r="E8" s="148" t="n">
        <x:v>239933.19</x:v>
      </x:c>
      <x:c r="F8" s="154" t="n">
        <x:f aca="0">D8/E8</x:f>
        <x:v>15.681511590789086</x:v>
      </x:c>
      <x:c r="G8" s="90"/>
      <x:c r="H8" s="90"/>
      <x:c r="I8" s="90"/>
      <x:c r="J8" s="90"/>
      <x:c r="K8" s="2"/>
      <x:c r="L8" s="2"/>
    </x:row>
    <x:row r="9" ht="21" hidden="0" customHeight="1">
      <x:c r="A9" s="90"/>
      <x:c r="B9" s="90" t="str">
        <x:v>Intel</x:v>
      </x:c>
      <x:c r="C9" s="90" t="str">
        <x:v>INTC</x:v>
      </x:c>
      <x:c r="D9" s="148" t="n">
        <x:v>539544.6</x:v>
      </x:c>
      <x:c r="E9" s="148" t="n">
        <x:v>24420.18</x:v>
      </x:c>
      <x:c r="F9" s="154" t="n">
        <x:f aca="0">D9/E9</x:f>
        <x:v>22.094210607784216</x:v>
      </x:c>
      <x:c r="G9" s="90"/>
      <x:c r="H9" s="90"/>
      <x:c r="I9" s="90"/>
      <x:c r="J9" s="90"/>
      <x:c r="K9" s="2"/>
      <x:c r="L9" s="2"/>
    </x:row>
    <x:row r="10" ht="21" hidden="0" customHeight="1">
      <x:c r="A10" s="90"/>
      <x:c r="B10" s="115"/>
      <x:c r="C10" s="90"/>
      <x:c r="D10" s="90"/>
      <x:c r="E10" s="90"/>
      <x:c r="F10" s="127">
        <x:f aca="0"/>
      </x:c>
      <x:c r="G10" s="90"/>
      <x:c r="H10" s="90"/>
      <x:c r="I10" s="90"/>
      <x:c r="J10" s="90"/>
      <x:c r="K10" s="2"/>
      <x:c r="L10" s="2"/>
    </x:row>
    <x:row r="11" ht="21" hidden="0" customHeight="1">
      <x:c r="A11" s="90"/>
      <x:c r="B11" s="115" t="str">
        <x:v>Peer median</x:v>
      </x:c>
      <x:c r="C11" s="90"/>
      <x:c r="D11" s="90"/>
      <x:c r="E11" s="90"/>
      <x:c r="F11" s="157" t="n">
        <x:f aca="0">MEDIAN(F6:F9)</x:f>
        <x:v>19.38353309848511</x:v>
      </x:c>
      <x:c r="G11" s="90"/>
      <x:c r="H11" s="90"/>
      <x:c r="I11" s="90"/>
      <x:c r="J11" s="90"/>
      <x:c r="K11" s="2"/>
      <x:c r="L11" s="2"/>
    </x:row>
    <x:row r="12" ht="21" hidden="0" customHeight="1">
      <x:c r="A12" s="90"/>
      <x:c r="B12" s="115"/>
      <x:c r="C12" s="90"/>
      <x:c r="D12" s="90"/>
      <x:c r="E12" s="90"/>
      <x:c r="F12" s="127">
        <x:f aca="0"/>
      </x:c>
      <x:c r="G12" s="90"/>
      <x:c r="H12" s="90"/>
      <x:c r="I12" s="90"/>
      <x:c r="J12" s="90"/>
      <x:c r="K12" s="2"/>
      <x:c r="L12" s="2"/>
    </x:row>
    <x:row r="13" ht="21" hidden="0" customHeight="1">
      <x:c r="A13" s="90"/>
      <x:c r="B13" s="115"/>
      <x:c r="C13" s="90"/>
      <x:c r="D13" s="136">
        <x:f aca="0"/>
      </x:c>
      <x:c r="E13" s="136"/>
      <x:c r="F13" s="127">
        <x:f aca="0"/>
      </x:c>
      <x:c r="G13" s="90"/>
      <x:c r="H13" s="90"/>
      <x:c r="I13" s="90"/>
      <x:c r="J13" s="90"/>
      <x:c r="K13" s="2"/>
      <x:c r="L13" s="2"/>
    </x:row>
    <x:row r="14" ht="21" hidden="0" customHeight="1">
      <x:c r="A14" s="90"/>
      <x:c r="B14" s="90" t="str">
        <x:v>Selected multiple: low</x:v>
      </x:c>
      <x:c r="C14" s="228" t="n">
        <x:f>'Assumptions'!$C$36</x:f>
        <x:v>15</x:v>
      </x:c>
      <x:c r="D14" s="90"/>
      <x:c r="E14" s="90"/>
      <x:c r="F14" s="90"/>
      <x:c r="G14" s="90"/>
      <x:c r="H14" s="90"/>
      <x:c r="I14" s="90"/>
      <x:c r="J14" s="90"/>
      <x:c r="K14" s="2"/>
      <x:c r="L14" s="2"/>
    </x:row>
    <x:row r="15" ht="21" hidden="0" customHeight="1">
      <x:c r="A15" s="115"/>
      <x:c r="B15" s="115" t="str">
        <x:v>Selected multiple: high</x:v>
      </x:c>
      <x:c r="C15" s="230" t="n">
        <x:f>'Assumptions'!$C$37</x:f>
        <x:v>20</x:v>
      </x:c>
      <x:c r="D15" s="115"/>
      <x:c r="E15" s="115"/>
      <x:c r="F15" s="115"/>
      <x:c r="G15" s="115"/>
      <x:c r="H15" s="115"/>
      <x:c r="I15" s="115"/>
      <x:c r="J15" s="115"/>
      <x:c r="K15" s="2"/>
      <x:c r="L15" s="2"/>
    </x:row>
    <x:row r="16" ht="21" hidden="0" customHeight="1">
      <x:c r="A16" s="90"/>
      <x:c r="B16" s="90" t="str">
        <x:v>Fraction of NTM in current fiscal year</x:v>
      </x:c>
      <x:c r="C16" s="198" t="n">
        <x:f>MIN(1,MAX(0,'DCF'!C15))</x:f>
        <x:v>0.40821917808219177</x:v>
      </x:c>
      <x:c r="D16" s="90"/>
      <x:c r="E16" s="90"/>
      <x:c r="F16" s="90"/>
      <x:c r="G16" s="90"/>
      <x:c r="H16" s="90"/>
      <x:c r="I16" s="90"/>
      <x:c r="J16" s="90"/>
      <x:c r="K16" s="2"/>
      <x:c r="L16" s="2"/>
    </x:row>
    <x:row r="17" ht="21" hidden="0" customHeight="1">
      <x:c r="A17" s="90"/>
      <x:c r="B17" s="90" t="str">
        <x:v>Approximate NTM EBITDA after SBC</x:v>
      </x:c>
      <x:c r="C17" s="197" t="n">
        <x:f>'Operating Forecast'!C57*C16+'Operating Forecast'!D57*(1-C16)</x:f>
        <x:v>380792.47089041094</x:v>
      </x:c>
      <x:c r="D17" s="90"/>
      <x:c r="E17" s="90"/>
      <x:c r="F17" s="90"/>
      <x:c r="G17" s="90"/>
      <x:c r="H17" s="90"/>
      <x:c r="I17" s="90"/>
      <x:c r="J17" s="90"/>
      <x:c r="K17" s="2"/>
      <x:c r="L17" s="2"/>
    </x:row>
    <x:row r="18" ht="21" hidden="0" customHeight="1">
      <x:c r="A18" s="90"/>
      <x:c r="B18" s="90" t="str">
        <x:v>Net non-operating value</x:v>
      </x:c>
      <x:c r="C18" s="197" t="n">
        <x:f>'Source Inputs'!$C$43</x:f>
        <x:v>66698.9</x:v>
      </x:c>
      <x:c r="D18" s="90"/>
      <x:c r="E18" s="90"/>
      <x:c r="F18" s="90"/>
      <x:c r="G18" s="90"/>
      <x:c r="H18" s="90"/>
      <x:c r="I18" s="90"/>
      <x:c r="J18" s="90"/>
      <x:c r="K18" s="2"/>
      <x:c r="L18" s="2"/>
    </x:row>
    <x:row r="19" ht="21" hidden="0" customHeight="1">
      <x:c r="A19" s="90"/>
      <x:c r="B19" s="90" t="str">
        <x:v>Diluted shares</x:v>
      </x:c>
      <x:c r="C19" s="197" t="n">
        <x:f aca="0">'Source Inputs'!$C$40</x:f>
        <x:v>24242</x:v>
      </x:c>
      <x:c r="D19" s="90"/>
      <x:c r="E19" s="90"/>
      <x:c r="F19" s="90"/>
      <x:c r="G19" s="90"/>
      <x:c r="H19" s="90"/>
      <x:c r="I19" s="90"/>
      <x:c r="J19" s="90"/>
      <x:c r="K19" s="2"/>
      <x:c r="L19" s="2"/>
    </x:row>
    <x:row r="20" ht="21" hidden="0" customHeight="1">
      <x:c r="A20" s="90"/>
      <x:c r="B20" s="90" t="str">
        <x:v>Current operating EV</x:v>
      </x:c>
      <x:c r="C20" s="197" t="n">
        <x:f>'Source Inputs'!$C$7*'Source Inputs'!$C$8-C18</x:f>
        <x:v>5495804.02</x:v>
      </x:c>
      <x:c r="D20" s="90"/>
      <x:c r="E20" s="90"/>
      <x:c r="F20" s="90"/>
      <x:c r="G20" s="90"/>
      <x:c r="H20" s="90"/>
      <x:c r="I20" s="90"/>
      <x:c r="J20" s="90"/>
      <x:c r="K20" s="2"/>
      <x:c r="L20" s="2"/>
    </x:row>
    <x:row r="21" ht="21" hidden="0" customHeight="1">
      <x:c r="A21" s="90"/>
      <x:c r="B21" s="90" t="str">
        <x:v>Current EV / model NTM EBITDA</x:v>
      </x:c>
      <x:c r="C21" s="171" t="n">
        <x:f>C20/C17</x:f>
        <x:v>14.43254381356098</x:v>
      </x:c>
      <x:c r="D21" s="90"/>
      <x:c r="E21" s="90"/>
      <x:c r="F21" s="90"/>
      <x:c r="G21" s="90"/>
      <x:c r="H21" s="90"/>
      <x:c r="I21" s="90"/>
      <x:c r="J21" s="90"/>
      <x:c r="K21" s="2"/>
      <x:c r="L21" s="2"/>
    </x:row>
    <x:row r="22" ht="21" hidden="0" customHeight="1">
      <x:c r="A22" s="90"/>
      <x:c r="B22" s="90"/>
      <x:c r="C22" s="118"/>
      <x:c r="D22" s="118"/>
      <x:c r="E22" s="90"/>
      <x:c r="F22" s="90"/>
      <x:c r="G22" s="90"/>
      <x:c r="H22" s="90"/>
      <x:c r="I22" s="90"/>
      <x:c r="J22" s="90"/>
      <x:c r="K22" s="2"/>
      <x:c r="L22" s="2"/>
    </x:row>
    <x:row r="23" ht="21" hidden="0" customHeight="1">
      <x:c r="A23" s="90"/>
      <x:c r="B23" s="115"/>
      <x:c r="C23" s="125" t="str">
        <x:f aca="0"/>
        <x:v>Low</x:v>
      </x:c>
      <x:c r="D23" s="125" t="str">
        <x:f aca="0"/>
        <x:v>High</x:v>
      </x:c>
      <x:c r="E23" s="90"/>
      <x:c r="F23" s="90"/>
      <x:c r="G23" s="90"/>
      <x:c r="H23" s="90"/>
      <x:c r="I23" s="90"/>
      <x:c r="J23" s="90"/>
      <x:c r="K23" s="2"/>
      <x:c r="L23" s="2"/>
    </x:row>
    <x:row r="24" ht="21" hidden="0" customHeight="1">
      <x:c r="A24" s="90"/>
      <x:c r="B24" s="90" t="str">
        <x:v>Enterprise value</x:v>
      </x:c>
      <x:c r="C24" s="146" t="n">
        <x:f aca="0">$C$14*$C$17</x:f>
        <x:v>5711887.063356164</x:v>
      </x:c>
      <x:c r="D24" s="146" t="n">
        <x:f aca="0">$C$15*$C$17</x:f>
        <x:v>7615849.417808219</x:v>
      </x:c>
      <x:c r="E24" s="90"/>
      <x:c r="F24" s="90"/>
      <x:c r="G24" s="90"/>
      <x:c r="H24" s="90"/>
      <x:c r="I24" s="90"/>
      <x:c r="J24" s="90"/>
      <x:c r="K24" s="2"/>
      <x:c r="L24" s="2"/>
    </x:row>
    <x:row r="25" ht="21" hidden="0" customHeight="1">
      <x:c r="A25" s="90"/>
      <x:c r="B25" s="115" t="str">
        <x:v>Equity value</x:v>
      </x:c>
      <x:c r="C25" s="149" t="n">
        <x:f aca="0">C24+$C$18</x:f>
        <x:v>5778585.963356164</x:v>
      </x:c>
      <x:c r="D25" s="149" t="n">
        <x:f aca="0">D24+$C$18</x:f>
        <x:v>7682548.317808219</x:v>
      </x:c>
      <x:c r="E25" s="90"/>
      <x:c r="F25" s="90"/>
      <x:c r="G25" s="90"/>
      <x:c r="H25" s="90"/>
      <x:c r="I25" s="90"/>
      <x:c r="J25" s="90"/>
      <x:c r="K25" s="2"/>
      <x:c r="L25" s="2"/>
    </x:row>
    <x:row r="26" ht="21" hidden="0" customHeight="1">
      <x:c r="A26" s="90"/>
      <x:c r="B26" s="115" t="str">
        <x:v>Value per share</x:v>
      </x:c>
      <x:c r="C26" s="225" t="n">
        <x:f aca="0">C25/$C$19</x:f>
        <x:v>238.37084247818515</x:v>
      </x:c>
      <x:c r="D26" s="225" t="n">
        <x:f aca="0">D25/$C$19</x:f>
        <x:v>316.91066404620983</x:v>
      </x:c>
      <x:c r="E26" s="90"/>
      <x:c r="F26" s="90"/>
      <x:c r="G26" s="90"/>
      <x:c r="H26" s="90"/>
      <x:c r="I26" s="90"/>
      <x:c r="J26" s="90"/>
      <x:c r="K26" s="2"/>
      <x:c r="L26" s="2"/>
    </x:row>
    <x:row r="27" ht="21" hidden="0" customHeight="1">
      <x:c r="A27" s="90"/>
      <x:c r="B27" s="90"/>
      <x:c r="C27" s="90"/>
      <x:c r="D27" s="90"/>
      <x:c r="E27" s="90"/>
      <x:c r="F27" s="90"/>
      <x:c r="G27" s="90"/>
      <x:c r="H27" s="90"/>
      <x:c r="I27" s="90"/>
      <x:c r="J27" s="90"/>
      <x:c r="K27" s="2"/>
      <x:c r="L27" s="2"/>
    </x:row>
    <x:row r="28" ht="21" hidden="0" customHeight="1">
      <x:c r="A28" s="90"/>
      <x:c r="B28" s="132"/>
      <x:c r="C28" s="90"/>
      <x:c r="D28" s="90"/>
      <x:c r="E28" s="90"/>
      <x:c r="F28" s="90"/>
      <x:c r="G28" s="90"/>
      <x:c r="H28" s="90"/>
      <x:c r="I28" s="90"/>
      <x:c r="J28" s="90"/>
      <x:c r="K28" s="2"/>
      <x:c r="L28" s="2"/>
    </x:row>
    <x:row r="29" ht="21" hidden="0" customHeight="1">
      <x:c r="A29" s="90"/>
      <x:c r="B29" s="232" t="str">
        <x:v>The NTM estimate blends the two annual EBITDA forecasts by time remaining in the current fiscal year. This is a calendar interpolation assumption; it is not a quarterly consensus forecast.</x:v>
      </x:c>
      <x:c r="C29" s="111"/>
      <x:c r="D29" s="111"/>
      <x:c r="E29" s="111"/>
      <x:c r="F29" s="111"/>
      <x:c r="G29" s="111"/>
      <x:c r="H29" s="111"/>
      <x:c r="I29" s="111"/>
      <x:c r="J29" s="111"/>
      <x:c r="K29" s="2"/>
      <x:c r="L29" s="2"/>
    </x:row>
    <x:row r="30" ht="21" hidden="0" customHeight="1">
      <x:c r="A30" s="90"/>
      <x:c r="B30" s="111"/>
      <x:c r="C30" s="111"/>
      <x:c r="D30" s="111"/>
      <x:c r="E30" s="111"/>
      <x:c r="F30" s="111"/>
      <x:c r="G30" s="111"/>
      <x:c r="H30" s="111"/>
      <x:c r="I30" s="111"/>
      <x:c r="J30" s="111"/>
      <x:c r="K30" s="2"/>
      <x:c r="L30" s="2"/>
    </x:row>
    <x:row r="31" ht="21" hidden="0" customHeight="1">
      <x:c r="A31" s="90"/>
      <x:c r="B31" s="111"/>
      <x:c r="C31" s="111"/>
      <x:c r="D31" s="111"/>
      <x:c r="E31" s="111"/>
      <x:c r="F31" s="111"/>
      <x:c r="G31" s="111"/>
      <x:c r="H31" s="111"/>
      <x:c r="I31" s="111"/>
      <x:c r="J31" s="111"/>
      <x:c r="K31" s="2"/>
      <x:c r="L31" s="2"/>
    </x:row>
    <x:row r="32" ht="21" hidden="0" customHeight="1">
      <x:c r="A32" s="90"/>
      <x:c r="B32" s="90"/>
      <x:c r="C32" s="90"/>
      <x:c r="D32" s="90"/>
      <x:c r="E32" s="90"/>
      <x:c r="F32" s="90"/>
      <x:c r="G32" s="90"/>
      <x:c r="H32" s="90"/>
      <x:c r="I32" s="90"/>
      <x:c r="J32" s="90"/>
      <x:c r="K32" s="2"/>
      <x:c r="L32" s="2"/>
    </x:row>
    <x:row r="33" ht="21" hidden="0" customHeight="1">
      <x:c r="A33" s="90"/>
      <x:c r="B33" s="90"/>
      <x:c r="C33" s="90"/>
      <x:c r="D33" s="90"/>
      <x:c r="E33" s="90"/>
      <x:c r="F33" s="90"/>
      <x:c r="G33" s="90"/>
      <x:c r="H33" s="90"/>
      <x:c r="I33" s="90"/>
      <x:c r="J33" s="90"/>
      <x:c r="K33" s="2"/>
      <x:c r="L33" s="2"/>
    </x:row>
    <x:row r="34" ht="21" hidden="0" customHeight="1">
      <x:c r="A34" s="90"/>
      <x:c r="B34" s="111" t="str">
        <x:v>Peer EBITDA definitions are an assumption in this supplied snapshot. The applied NVIDIA denominator includes SBC. Broadcom offers a semiconductor and software comparison; Microsoft is a demand-side reference. AMD and Intel have different profit profiles.</x:v>
      </x:c>
      <x:c r="C34" s="111"/>
      <x:c r="D34" s="111"/>
      <x:c r="E34" s="111"/>
      <x:c r="F34" s="111"/>
      <x:c r="G34" s="111"/>
      <x:c r="H34" s="111"/>
      <x:c r="I34" s="111"/>
      <x:c r="J34" s="111"/>
      <x:c r="K34" s="2"/>
      <x:c r="L34" s="2"/>
    </x:row>
    <x:row r="35" ht="21" hidden="0" customHeight="1">
      <x:c r="A35" s="90"/>
      <x:c r="B35" s="111"/>
      <x:c r="C35" s="111"/>
      <x:c r="D35" s="111"/>
      <x:c r="E35" s="111"/>
      <x:c r="F35" s="111"/>
      <x:c r="G35" s="111"/>
      <x:c r="H35" s="111"/>
      <x:c r="I35" s="111"/>
      <x:c r="J35" s="111"/>
      <x:c r="K35" s="2"/>
      <x:c r="L35" s="2"/>
    </x:row>
    <x:row r="36" ht="21" hidden="0" customHeight="1">
      <x:c r="A36" s="90"/>
      <x:c r="B36" s="111"/>
      <x:c r="C36" s="111"/>
      <x:c r="D36" s="111"/>
      <x:c r="E36" s="111"/>
      <x:c r="F36" s="111"/>
      <x:c r="G36" s="111"/>
      <x:c r="H36" s="111"/>
      <x:c r="I36" s="111"/>
      <x:c r="J36" s="111"/>
      <x:c r="K36" s="2"/>
      <x:c r="L36" s="2"/>
    </x:row>
    <x:row r="37" ht="21" hidden="0" customHeight="1">
      <x:c r="A37" s="90"/>
      <x:c r="B37" s="90"/>
      <x:c r="C37" s="90"/>
      <x:c r="D37" s="90"/>
      <x:c r="E37" s="90"/>
      <x:c r="F37" s="90"/>
      <x:c r="G37" s="90"/>
      <x:c r="H37" s="90"/>
      <x:c r="I37" s="90"/>
      <x:c r="J37" s="90"/>
      <x:c r="K37" s="2"/>
      <x:c r="L37" s="2"/>
    </x:row>
    <x:row r="38" ht="21" hidden="0" customHeight="1">
      <x:c r="A38" s="90"/>
      <x:c r="B38" s="90"/>
      <x:c r="C38" s="90"/>
      <x:c r="D38" s="90"/>
      <x:c r="E38" s="90"/>
      <x:c r="F38" s="90"/>
      <x:c r="G38" s="90"/>
      <x:c r="H38" s="90"/>
      <x:c r="I38" s="90"/>
      <x:c r="J38" s="90"/>
      <x:c r="K38" s="2"/>
      <x:c r="L38" s="2"/>
    </x:row>
    <x:row r="39" ht="21" hidden="0" customHeight="1">
      <x:c r="A39" s="90"/>
      <x:c r="B39" s="111" t="str">
        <x:v>A lower forward multiple can simply reflect a larger earnings forecast. Compare customer concentration, margins and cash conversion before calling one business cheaper. The multiple range remains an editable judgment.</x:v>
      </x:c>
      <x:c r="C39" s="111"/>
      <x:c r="D39" s="111"/>
      <x:c r="E39" s="111"/>
      <x:c r="F39" s="111"/>
      <x:c r="G39" s="111"/>
      <x:c r="H39" s="111"/>
      <x:c r="I39" s="111"/>
      <x:c r="J39" s="111"/>
      <x:c r="K39" s="2"/>
      <x:c r="L39" s="2"/>
    </x:row>
    <x:row r="40" ht="21" hidden="0" customHeight="1">
      <x:c r="A40" s="90"/>
      <x:c r="B40" s="111"/>
      <x:c r="C40" s="111"/>
      <x:c r="D40" s="111"/>
      <x:c r="E40" s="111"/>
      <x:c r="F40" s="111"/>
      <x:c r="G40" s="111"/>
      <x:c r="H40" s="111"/>
      <x:c r="I40" s="111"/>
      <x:c r="J40" s="111"/>
      <x:c r="K40" s="2"/>
      <x:c r="L40" s="2"/>
    </x:row>
    <x:row r="41" ht="21" hidden="0" customHeight="1">
      <x:c r="A41" s="90"/>
      <x:c r="B41" s="111"/>
      <x:c r="C41" s="111"/>
      <x:c r="D41" s="111"/>
      <x:c r="E41" s="111"/>
      <x:c r="F41" s="111"/>
      <x:c r="G41" s="111"/>
      <x:c r="H41" s="111"/>
      <x:c r="I41" s="111"/>
      <x:c r="J41" s="111"/>
      <x:c r="K41" s="2"/>
      <x:c r="L41" s="2"/>
    </x:row>
    <x:row r="42" ht="21" hidden="0" customHeight="1">
      <x:c r="A42" s="90"/>
      <x:c r="B42" s="90"/>
      <x:c r="C42" s="90"/>
      <x:c r="D42" s="90"/>
      <x:c r="E42" s="90"/>
      <x:c r="F42" s="90"/>
      <x:c r="G42" s="90"/>
      <x:c r="H42" s="90"/>
      <x:c r="I42" s="90"/>
      <x:c r="J42" s="90"/>
      <x:c r="K42" s="2"/>
      <x:c r="L42" s="2"/>
    </x:row>
    <x:row r="43" ht="21" hidden="0" customHeight="1">
      <x:c r="A43" s="90"/>
      <x:c r="B43" s="90"/>
      <x:c r="C43" s="90"/>
      <x:c r="D43" s="90"/>
      <x:c r="E43" s="90"/>
      <x:c r="F43" s="90"/>
      <x:c r="G43" s="90"/>
      <x:c r="H43" s="90"/>
      <x:c r="I43" s="90"/>
      <x:c r="J43" s="90"/>
      <x:c r="K43" s="2"/>
      <x:c r="L43" s="2"/>
    </x:row>
    <x:row r="44" ht="21" hidden="0" customHeight="1">
      <x:c r="A44" s="90"/>
      <x:c r="B44" s="90"/>
      <x:c r="C44" s="90"/>
      <x:c r="D44" s="90"/>
      <x:c r="E44" s="90"/>
      <x:c r="F44" s="90"/>
      <x:c r="G44" s="90"/>
      <x:c r="H44" s="90"/>
      <x:c r="I44" s="90"/>
      <x:c r="J44" s="90"/>
      <x:c r="K44" s="2"/>
      <x:c r="L44" s="2"/>
    </x:row>
    <x:row r="45" ht="21" hidden="0" customHeight="1">
      <x:c r="A45" s="90"/>
      <x:c r="B45" s="90"/>
      <x:c r="C45" s="90"/>
      <x:c r="D45" s="90"/>
      <x:c r="E45" s="90"/>
      <x:c r="F45" s="90"/>
      <x:c r="G45" s="90"/>
      <x:c r="H45" s="90"/>
      <x:c r="I45" s="90"/>
      <x:c r="J45" s="90"/>
      <x:c r="K45" s="2"/>
      <x:c r="L45" s="2"/>
    </x:row>
    <x:row r="46" ht="21" hidden="0" customHeight="1">
      <x:c r="A46" s="90"/>
      <x:c r="B46" s="90"/>
      <x:c r="C46" s="90"/>
      <x:c r="D46" s="90"/>
      <x:c r="E46" s="90"/>
      <x:c r="F46" s="90"/>
      <x:c r="G46" s="90"/>
      <x:c r="H46" s="90"/>
      <x:c r="I46" s="90"/>
      <x:c r="J46" s="90"/>
      <x:c r="K46" s="2"/>
      <x:c r="L46" s="2"/>
    </x:row>
    <x:row r="47" ht="21" hidden="0" customHeight="1">
      <x:c r="A47" s="90"/>
      <x:c r="B47" s="90"/>
      <x:c r="C47" s="90"/>
      <x:c r="D47" s="90"/>
      <x:c r="E47" s="90"/>
      <x:c r="F47" s="90"/>
      <x:c r="G47" s="90"/>
      <x:c r="H47" s="90"/>
      <x:c r="I47" s="90"/>
      <x:c r="J47" s="90"/>
      <x:c r="K47" s="2"/>
      <x:c r="L47" s="2"/>
    </x:row>
    <x:row r="48" ht="21" hidden="0" customHeight="1">
      <x:c r="A48" s="90"/>
      <x:c r="B48" s="90"/>
      <x:c r="C48" s="90"/>
      <x:c r="D48" s="90"/>
      <x:c r="E48" s="90"/>
      <x:c r="F48" s="90"/>
      <x:c r="G48" s="90"/>
      <x:c r="H48" s="90"/>
      <x:c r="I48" s="90"/>
      <x:c r="J48" s="90"/>
      <x:c r="K48" s="2"/>
      <x:c r="L48" s="2"/>
    </x:row>
    <x:row r="49" ht="21" hidden="0" customHeight="1">
      <x:c r="A49" s="90"/>
      <x:c r="B49" s="90"/>
      <x:c r="C49" s="90"/>
      <x:c r="D49" s="90"/>
      <x:c r="E49" s="90"/>
      <x:c r="F49" s="90"/>
      <x:c r="G49" s="90"/>
      <x:c r="H49" s="90"/>
      <x:c r="I49" s="90"/>
      <x:c r="J49" s="90"/>
      <x:c r="K49" s="2"/>
      <x:c r="L49" s="2"/>
    </x:row>
    <x:row r="50" ht="15" hidden="0">
      <x:c r="A50" s="2"/>
      <x:c r="B50" s="2"/>
      <x:c r="C50" s="2"/>
      <x:c r="D50" s="2"/>
      <x:c r="E50" s="2"/>
      <x:c r="F50" s="2"/>
      <x:c r="G50" s="2"/>
      <x:c r="H50" s="2"/>
      <x:c r="I50" s="2"/>
      <x:c r="J50" s="2"/>
      <x:c r="K50" s="2"/>
      <x:c r="L50" s="2"/>
    </x:row>
    <x:row r="51" ht="15" hidden="0">
      <x:c r="A51" s="2"/>
      <x:c r="B51" s="2"/>
      <x:c r="C51" s="2"/>
      <x:c r="D51" s="2"/>
      <x:c r="E51" s="2"/>
      <x:c r="F51" s="2"/>
      <x:c r="G51" s="2"/>
      <x:c r="H51" s="2"/>
      <x:c r="I51" s="2"/>
      <x:c r="J51" s="2"/>
      <x:c r="K51" s="2"/>
      <x:c r="L51" s="2"/>
    </x:row>
    <x:row r="52" ht="15" hidden="0">
      <x:c r="A52" s="2"/>
      <x:c r="B52" s="2"/>
      <x:c r="C52" s="2"/>
      <x:c r="D52" s="2"/>
      <x:c r="E52" s="2"/>
      <x:c r="F52" s="2"/>
      <x:c r="G52" s="2"/>
      <x:c r="H52" s="2"/>
      <x:c r="I52" s="2"/>
      <x:c r="J52" s="2"/>
      <x:c r="K52" s="2"/>
      <x:c r="L52" s="2"/>
    </x:row>
    <x:row r="53" ht="15" hidden="0">
      <x:c r="A53" s="2"/>
      <x:c r="B53" s="2"/>
      <x:c r="C53" s="2"/>
      <x:c r="D53" s="2"/>
      <x:c r="E53" s="2"/>
      <x:c r="F53" s="2"/>
      <x:c r="G53" s="2"/>
      <x:c r="H53" s="2"/>
      <x:c r="I53" s="2"/>
      <x:c r="J53" s="2"/>
      <x:c r="K53" s="2"/>
      <x:c r="L53" s="2"/>
    </x:row>
    <x:row r="54" ht="15" hidden="0">
      <x:c r="A54" s="2"/>
      <x:c r="B54" s="2"/>
      <x:c r="C54" s="2"/>
      <x:c r="D54" s="2"/>
      <x:c r="E54" s="2"/>
      <x:c r="F54" s="2"/>
      <x:c r="G54" s="2"/>
      <x:c r="H54" s="2"/>
      <x:c r="I54" s="2"/>
      <x:c r="J54" s="2"/>
      <x:c r="K54" s="2"/>
      <x:c r="L54" s="2"/>
    </x:row>
    <x:row r="55" ht="15" hidden="0">
      <x:c r="A55" s="2"/>
      <x:c r="B55" s="2"/>
      <x:c r="C55" s="2"/>
      <x:c r="D55" s="2"/>
      <x:c r="E55" s="2"/>
      <x:c r="F55" s="2"/>
      <x:c r="G55" s="2"/>
      <x:c r="H55" s="2"/>
      <x:c r="I55" s="2"/>
      <x:c r="J55" s="2"/>
      <x:c r="K55" s="2"/>
      <x:c r="L55" s="2"/>
    </x:row>
    <x:row r="56" ht="15" hidden="0">
      <x:c r="A56" s="2"/>
      <x:c r="B56" s="2"/>
      <x:c r="C56" s="2"/>
      <x:c r="D56" s="2"/>
      <x:c r="E56" s="2"/>
      <x:c r="F56" s="2"/>
      <x:c r="G56" s="2"/>
      <x:c r="H56" s="2"/>
      <x:c r="I56" s="2"/>
      <x:c r="J56" s="2"/>
      <x:c r="K56" s="2"/>
      <x:c r="L56" s="2"/>
    </x:row>
    <x:row r="57" ht="15" hidden="0">
      <x:c r="A57" s="2"/>
      <x:c r="B57" s="2"/>
      <x:c r="C57" s="2"/>
      <x:c r="D57" s="2"/>
      <x:c r="E57" s="2"/>
      <x:c r="F57" s="2"/>
      <x:c r="G57" s="2"/>
      <x:c r="H57" s="2"/>
      <x:c r="I57" s="2"/>
      <x:c r="J57" s="2"/>
      <x:c r="K57" s="2"/>
      <x:c r="L57" s="2"/>
    </x:row>
    <x:row r="58" ht="15" hidden="0">
      <x:c r="A58" s="2"/>
      <x:c r="B58" s="2"/>
      <x:c r="C58" s="2"/>
      <x:c r="D58" s="2"/>
      <x:c r="E58" s="2"/>
      <x:c r="F58" s="2"/>
      <x:c r="G58" s="2"/>
      <x:c r="H58" s="2"/>
      <x:c r="I58" s="2"/>
      <x:c r="J58" s="2"/>
      <x:c r="K58" s="2"/>
      <x:c r="L58" s="2"/>
    </x:row>
    <x:row r="59" ht="15" hidden="0">
      <x:c r="A59" s="2"/>
      <x:c r="B59" s="2"/>
      <x:c r="C59" s="2"/>
      <x:c r="D59" s="2"/>
      <x:c r="E59" s="2"/>
      <x:c r="F59" s="2"/>
      <x:c r="G59" s="2"/>
      <x:c r="H59" s="2"/>
      <x:c r="I59" s="2"/>
      <x:c r="J59" s="2"/>
      <x:c r="K59" s="2"/>
      <x:c r="L59" s="2"/>
    </x:row>
    <x:row r="60" ht="15" hidden="0">
      <x:c r="A60" s="2"/>
      <x:c r="B60" s="2"/>
      <x:c r="C60" s="2"/>
      <x:c r="D60" s="2"/>
      <x:c r="E60" s="2"/>
      <x:c r="F60" s="2"/>
      <x:c r="G60" s="2"/>
      <x:c r="H60" s="2"/>
      <x:c r="I60" s="2"/>
      <x:c r="J60" s="2"/>
      <x:c r="K60" s="2"/>
      <x:c r="L60" s="2"/>
    </x:row>
  </x:sheetData>
  <x:mergeCells>
    <x:mergeCell ref="A1:J1"/>
    <x:mergeCell ref="A2:J3"/>
    <x:mergeCell ref="B29:J31"/>
    <x:mergeCell ref="B34:J36"/>
    <x:mergeCell ref="B39:J41"/>
  </x:mergeCells>
  <x:pageMargins left="0.7" right="0.7" top="0.75" bottom="0.75" header="0.3" footer="0.3"/>
  <x:legacyDrawing xmlns:r="http://schemas.openxmlformats.org/officeDocument/2006/relationships" r:id="R340c95d80976463c"/>
</x:worksheet>
</file>

<file path=xl/worksheets/sheet8.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4"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DISCOUNTED CASH FLOW</x:v>
      </x:c>
      <x:c r="B1" s="142"/>
      <x:c r="C1" s="142"/>
      <x:c r="D1" s="142"/>
      <x:c r="E1" s="142"/>
      <x:c r="F1" s="142"/>
      <x:c r="G1" s="142"/>
      <x:c r="H1" s="142"/>
      <x:c r="I1" s="142"/>
      <x:c r="J1" s="142"/>
      <x:c r="K1" s="2"/>
      <x:c r="L1" s="2"/>
    </x:row>
    <x:row r="2" ht="21" hidden="0" customHeight="1">
      <x:c r="A2" s="144" t="str">
        <x:v>Two terminal methods. SBC remains a cost, and terminal earnings and reinvestment are rebuilt for a mature business.</x:v>
      </x:c>
      <x:c r="B2" s="144"/>
      <x:c r="C2" s="144"/>
      <x:c r="D2" s="144"/>
      <x:c r="E2" s="144"/>
      <x:c r="F2" s="144"/>
      <x:c r="G2" s="144"/>
      <x:c r="H2" s="144"/>
      <x:c r="I2" s="144"/>
      <x:c r="J2" s="144"/>
      <x:c r="K2" s="2"/>
      <x:c r="L2" s="2"/>
    </x:row>
    <x:row r="3" ht="21" hidden="0" customHeight="1">
      <x:c r="A3" s="94"/>
      <x:c r="B3" s="94"/>
      <x:c r="C3" s="94"/>
      <x:c r="D3" s="94"/>
      <x:c r="E3" s="94"/>
      <x:c r="F3" s="94"/>
      <x:c r="G3" s="94"/>
      <x:c r="H3" s="94"/>
      <x:c r="I3" s="94"/>
      <x:c r="J3" s="94"/>
      <x:c r="K3" s="2"/>
      <x:c r="L3" s="2"/>
    </x:row>
    <x:row r="4" ht="21" hidden="0" customHeight="1">
      <x:c r="A4" s="115"/>
      <x:c r="B4" s="115"/>
      <x:c r="C4" s="115"/>
      <x:c r="D4" s="115"/>
      <x:c r="E4" s="115"/>
      <x:c r="F4" s="115"/>
      <x:c r="G4" s="115"/>
      <x:c r="H4" s="115"/>
      <x:c r="I4" s="115"/>
      <x:c r="J4" s="115"/>
      <x:c r="K4" s="2"/>
      <x:c r="L4" s="2"/>
    </x:row>
    <x:row r="5" ht="21" hidden="0" customHeight="1">
      <x:c r="A5" s="90"/>
      <x:c r="B5" s="90" t="str">
        <x:v>Cost of equity</x:v>
      </x:c>
      <x:c r="C5" s="198" t="n">
        <x:f aca="0">'Assumptions'!$C$24+'Assumptions'!$C$25*'Assumptions'!$C$26</x:f>
        <x:v>0.137</x:v>
      </x:c>
      <x:c r="D5" s="90"/>
      <x:c r="E5" s="90"/>
      <x:c r="F5" s="90"/>
      <x:c r="G5" s="90"/>
      <x:c r="H5" s="90"/>
      <x:c r="I5" s="90"/>
      <x:c r="J5" s="90"/>
      <x:c r="K5" s="2"/>
      <x:c r="L5" s="2"/>
    </x:row>
    <x:row r="6" ht="21" hidden="0" customHeight="1">
      <x:c r="A6" s="90"/>
      <x:c r="B6" s="90" t="str">
        <x:v>Market equity for capital weights</x:v>
      </x:c>
      <x:c r="C6" s="197" t="n">
        <x:f aca="0">'Source Inputs'!$C$7*'Source Inputs'!$C$8</x:f>
        <x:v>5562502.92</x:v>
      </x:c>
      <x:c r="D6" s="90"/>
      <x:c r="E6" s="90"/>
      <x:c r="F6" s="90"/>
      <x:c r="G6" s="90"/>
      <x:c r="H6" s="90"/>
      <x:c r="I6" s="90"/>
      <x:c r="J6" s="90"/>
      <x:c r="K6" s="2"/>
      <x:c r="L6" s="2"/>
    </x:row>
    <x:row r="7" ht="21" hidden="0" customHeight="1">
      <x:c r="A7" s="90"/>
      <x:c r="B7" s="90" t="str">
        <x:v>Funded debt</x:v>
      </x:c>
      <x:c r="C7" s="197" t="n">
        <x:f aca="0">'Source Inputs'!$C$14</x:f>
        <x:v>33500</x:v>
      </x:c>
      <x:c r="D7" s="90"/>
      <x:c r="E7" s="90"/>
      <x:c r="F7" s="90"/>
      <x:c r="G7" s="90"/>
      <x:c r="H7" s="90"/>
      <x:c r="I7" s="90"/>
      <x:c r="J7" s="90"/>
      <x:c r="K7" s="2"/>
      <x:c r="L7" s="2"/>
    </x:row>
    <x:row r="8" ht="21" hidden="0" customHeight="1">
      <x:c r="A8" s="90"/>
      <x:c r="B8" s="115" t="str">
        <x:v>Calculated WACC</x:v>
      </x:c>
      <x:c r="C8" s="218" t="n">
        <x:f aca="0">(C6*C5+C7*'Assumptions'!$C$27*(1-'Assumptions'!$F$12))/(C6+C7)</x:f>
        <x:v>0.13642979390010757</x:v>
      </x:c>
      <x:c r="D8" s="90"/>
      <x:c r="E8" s="132"/>
      <x:c r="F8" s="90"/>
      <x:c r="G8" s="90"/>
      <x:c r="H8" s="90"/>
      <x:c r="I8" s="90"/>
      <x:c r="J8" s="90"/>
      <x:c r="K8" s="2"/>
      <x:c r="L8" s="2"/>
    </x:row>
    <x:row r="9" ht="21" hidden="0" customHeight="1">
      <x:c r="A9" s="90"/>
      <x:c r="B9" s="90" t="str">
        <x:v>WACC used</x:v>
      </x:c>
      <x:c r="C9" s="198" t="n">
        <x:f aca="0">IF('Assumptions'!$C$29&gt;0,'Assumptions'!$C$29,C8)</x:f>
        <x:v>0.13642979390010757</x:v>
      </x:c>
      <x:c r="D9" s="90"/>
      <x:c r="E9" s="90"/>
      <x:c r="F9" s="90"/>
      <x:c r="G9" s="90"/>
      <x:c r="H9" s="90"/>
      <x:c r="I9" s="90"/>
      <x:c r="J9" s="90"/>
      <x:c r="K9" s="2"/>
      <x:c r="L9" s="2"/>
    </x:row>
    <x:row r="10" ht="21" hidden="0" customHeight="1">
      <x:c r="A10" s="90"/>
      <x:c r="B10" s="90" t="str">
        <x:v>Terminal growth</x:v>
      </x:c>
      <x:c r="C10" s="198" t="n">
        <x:f aca="0">'Assumptions'!$F$16</x:f>
        <x:v>0.035</x:v>
      </x:c>
      <x:c r="D10" s="90"/>
      <x:c r="E10" s="90"/>
      <x:c r="F10" s="90"/>
      <x:c r="G10" s="90"/>
      <x:c r="H10" s="90"/>
      <x:c r="I10" s="90"/>
      <x:c r="J10" s="90"/>
      <x:c r="K10" s="2"/>
      <x:c r="L10" s="2"/>
    </x:row>
    <x:row r="11" ht="21" hidden="0" customHeight="1">
      <x:c r="A11" s="90"/>
      <x:c r="B11" s="90" t="str">
        <x:v>Exit EV / EBITDA</x:v>
      </x:c>
      <x:c r="C11" s="219" t="n">
        <x:f aca="0">'Assumptions'!$F$17</x:f>
        <x:v>15</x:v>
      </x:c>
      <x:c r="D11" s="90"/>
      <x:c r="E11" s="90"/>
      <x:c r="F11" s="90"/>
      <x:c r="G11" s="90"/>
      <x:c r="H11" s="90"/>
      <x:c r="I11" s="90"/>
      <x:c r="J11" s="90"/>
      <x:c r="K11" s="2"/>
      <x:c r="L11" s="2"/>
    </x:row>
    <x:row r="12" ht="21" hidden="0" customHeight="1">
      <x:c r="A12" s="90"/>
      <x:c r="B12" s="90"/>
      <x:c r="C12" s="136">
        <x:f aca="0"/>
      </x:c>
      <x:c r="D12" s="90"/>
      <x:c r="E12" s="132"/>
      <x:c r="F12" s="90"/>
      <x:c r="G12" s="90"/>
      <x:c r="H12" s="90"/>
      <x:c r="I12" s="90"/>
      <x:c r="J12" s="90"/>
      <x:c r="K12" s="2"/>
      <x:c r="L12" s="2"/>
    </x:row>
    <x:row r="13" ht="21" hidden="0" customHeight="1">
      <x:c r="A13" s="90"/>
      <x:c r="B13" s="115"/>
      <x:c r="C13" s="125">
        <x:f aca="0"/>
      </x:c>
      <x:c r="D13" s="90"/>
      <x:c r="E13" s="90"/>
      <x:c r="F13" s="90"/>
      <x:c r="G13" s="90"/>
      <x:c r="H13" s="90"/>
      <x:c r="I13" s="90"/>
      <x:c r="J13" s="90"/>
      <x:c r="K13" s="2"/>
      <x:c r="L13" s="2"/>
    </x:row>
    <x:row r="14" ht="32" hidden="0" customHeight="1">
      <x:c r="A14" s="90"/>
      <x:c r="B14" s="115"/>
      <x:c r="C14" s="220" t="str">
        <x:f aca="0"/>
        <x:v>FY2027 remainder</x:v>
      </x:c>
      <x:c r="D14" s="96" t="str">
        <x:v>FY2028E</x:v>
      </x:c>
      <x:c r="E14" s="96" t="str">
        <x:v>FY2029E</x:v>
      </x:c>
      <x:c r="F14" s="96" t="str">
        <x:v>FY2030E</x:v>
      </x:c>
      <x:c r="G14" s="96" t="str">
        <x:v>FY2031E</x:v>
      </x:c>
      <x:c r="H14" s="90"/>
      <x:c r="I14" s="90"/>
      <x:c r="J14" s="90"/>
      <x:c r="K14" s="2"/>
      <x:c r="L14" s="2"/>
    </x:row>
    <x:row r="15" ht="21" hidden="0" customHeight="1">
      <x:c r="A15" s="90"/>
      <x:c r="B15" s="90" t="str">
        <x:v>Years from valuation to period end</x:v>
      </x:c>
      <x:c r="C15" s="222" t="n">
        <x:f>('Operating Forecast'!C6-'Source Inputs'!$C$5)/365</x:f>
        <x:v>0.40821917808219177</x:v>
      </x:c>
      <x:c r="D15" s="222" t="n">
        <x:f>('Operating Forecast'!D6-'Source Inputs'!$C$5)/365</x:f>
        <x:v>1.4054794520547946</x:v>
      </x:c>
      <x:c r="E15" s="222" t="n">
        <x:f>('Operating Forecast'!E6-'Source Inputs'!$C$5)/365</x:f>
        <x:v>2.4027397260273973</x:v>
      </x:c>
      <x:c r="F15" s="222" t="n">
        <x:f>('Operating Forecast'!F6-'Source Inputs'!$C$5)/365</x:f>
        <x:v>3.4</x:v>
      </x:c>
      <x:c r="G15" s="222" t="n">
        <x:f>('Operating Forecast'!G6-'Source Inputs'!$C$5)/365</x:f>
        <x:v>4.397260273972603</x:v>
      </x:c>
      <x:c r="H15" s="90"/>
      <x:c r="I15" s="90"/>
      <x:c r="J15" s="90"/>
      <x:c r="K15" s="2"/>
      <x:c r="L15" s="2"/>
    </x:row>
    <x:row r="16" ht="21" hidden="0" customHeight="1">
      <x:c r="A16" s="115"/>
      <x:c r="B16" s="115" t="str">
        <x:v>Midperiod discount years</x:v>
      </x:c>
      <x:c r="C16" s="224" t="n">
        <x:f>C15-'Assumptions'!$C$30*C15/2</x:f>
        <x:v>0.20410958904109588</x:v>
      </x:c>
      <x:c r="D16" s="224" t="n">
        <x:f>D15-'Assumptions'!$C$30*(D15-C15)/2</x:f>
        <x:v>0.9068493150684932</x:v>
      </x:c>
      <x:c r="E16" s="224" t="n">
        <x:f>E15-'Assumptions'!$C$30*(E15-D15)/2</x:f>
        <x:v>1.904109589041096</x:v>
      </x:c>
      <x:c r="F16" s="224" t="n">
        <x:f>F15-'Assumptions'!$C$30*(F15-E15)/2</x:f>
        <x:v>2.9013698630136986</x:v>
      </x:c>
      <x:c r="G16" s="224" t="n">
        <x:f>G15-'Assumptions'!$C$30*(G15-F15)/2</x:f>
        <x:v>3.8986301369863012</x:v>
      </x:c>
      <x:c r="H16" s="115"/>
      <x:c r="I16" s="115"/>
      <x:c r="J16" s="115"/>
      <x:c r="K16" s="2"/>
      <x:c r="L16" s="2"/>
    </x:row>
    <x:row r="17" ht="21" hidden="0" customHeight="1">
      <x:c r="A17" s="90"/>
      <x:c r="B17" s="115" t="str">
        <x:v>Fraction of forecast period remaining</x:v>
      </x:c>
      <x:c r="C17" s="218" t="n">
        <x:f>MAX(0,MIN(1,('Operating Forecast'!C6-'Source Inputs'!$C$5)/('Operating Forecast'!C6-'Source Inputs'!$C$6)))</x:f>
        <x:v>0.7883597883597884</x:v>
      </x:c>
      <x:c r="D17" s="153" t="n">
        <x:f>1</x:f>
        <x:v>1</x:v>
      </x:c>
      <x:c r="E17" s="153" t="n">
        <x:f>1</x:f>
        <x:v>1</x:v>
      </x:c>
      <x:c r="F17" s="153" t="n">
        <x:f>1</x:f>
        <x:v>1</x:v>
      </x:c>
      <x:c r="G17" s="153" t="n">
        <x:f>1</x:f>
        <x:v>1</x:v>
      </x:c>
      <x:c r="H17" s="90"/>
      <x:c r="I17" s="90"/>
      <x:c r="J17" s="90"/>
      <x:c r="K17" s="2"/>
      <x:c r="L17" s="2"/>
    </x:row>
    <x:row r="18" ht="21" hidden="0" customHeight="1">
      <x:c r="A18" s="90"/>
      <x:c r="B18" s="90" t="str">
        <x:v>Unlevered free cash flow</x:v>
      </x:c>
      <x:c r="C18" s="197" t="n">
        <x:f>'Operating Forecast'!C29*C17+'Operating Forecast'!C30</x:f>
        <x:v>76955.85367950791</x:v>
      </x:c>
      <x:c r="D18" s="197" t="n">
        <x:f>'Operating Forecast'!D29*D17+'Operating Forecast'!D30</x:f>
        <x:v>307945.359553</x:v>
      </x:c>
      <x:c r="E18" s="197" t="n">
        <x:f>'Operating Forecast'!E29*E17+'Operating Forecast'!E30</x:f>
        <x:v>442954.55642299994</x:v>
      </x:c>
      <x:c r="F18" s="197" t="n">
        <x:f>'Operating Forecast'!F29*F17+'Operating Forecast'!F30</x:f>
        <x:v>523081.9664439999</x:v>
      </x:c>
      <x:c r="G18" s="197" t="n">
        <x:f>'Operating Forecast'!G29*G17+'Operating Forecast'!G30</x:f>
        <x:v>622139.9185959998</x:v>
      </x:c>
      <x:c r="H18" s="90"/>
      <x:c r="I18" s="90"/>
      <x:c r="J18" s="90"/>
      <x:c r="K18" s="2"/>
      <x:c r="L18" s="2"/>
    </x:row>
    <x:row r="19" ht="21" hidden="0" customHeight="1">
      <x:c r="A19" s="90"/>
      <x:c r="B19" s="90" t="str">
        <x:v>Discount factor</x:v>
      </x:c>
      <x:c r="C19" s="195" t="n">
        <x:f aca="0">1/(1+$C$9)^C16</x:f>
        <x:v>0.9742338618806909</x:v>
      </x:c>
      <x:c r="D19" s="195" t="n">
        <x:f aca="0">1/(1+$C$9)^D16</x:f>
        <x:v>0.8904944583163523</x:v>
      </x:c>
      <x:c r="E19" s="195" t="n">
        <x:f aca="0">1/(1+$C$9)^E16</x:f>
        <x:v>0.7838641122075998</x:v>
      </x:c>
      <x:c r="F19" s="195" t="n">
        <x:f aca="0">1/(1+$C$9)^F16</x:f>
        <x:v>0.6900019878492324</x:v>
      </x:c>
      <x:c r="G19" s="195" t="n">
        <x:f aca="0">1/(1+$C$9)^G16</x:f>
        <x:v>0.607379181954181</x:v>
      </x:c>
      <x:c r="H19" s="90"/>
      <x:c r="I19" s="90"/>
      <x:c r="J19" s="90"/>
      <x:c r="K19" s="2"/>
      <x:c r="L19" s="2"/>
    </x:row>
    <x:row r="20" ht="21" hidden="0" customHeight="1">
      <x:c r="A20" s="90"/>
      <x:c r="B20" s="90" t="str">
        <x:v>PV of unlevered cash flow</x:v>
      </x:c>
      <x:c r="C20" s="146" t="n">
        <x:f aca="0">C18*C19</x:f>
        <x:v>74972.99852451237</x:v>
      </x:c>
      <x:c r="D20" s="146" t="n">
        <x:f aca="0">D18*D19</x:f>
        <x:v>274223.6361461831</x:v>
      </x:c>
      <x:c r="E20" s="146" t="n">
        <x:f aca="0">E18*E19</x:f>
        <x:v>347216.180118826</x:v>
      </x:c>
      <x:c r="F20" s="146" t="n">
        <x:f aca="0">F18*F19</x:f>
        <x:v>360927.5966544454</x:v>
      </x:c>
      <x:c r="G20" s="146" t="n">
        <x:f aca="0">G18*G19</x:f>
        <x:v>377874.8348178791</x:v>
      </x:c>
      <x:c r="H20" s="90"/>
      <x:c r="I20" s="90"/>
      <x:c r="J20" s="90"/>
      <x:c r="K20" s="2"/>
      <x:c r="L20" s="2"/>
    </x:row>
    <x:row r="21" ht="21" hidden="0" customHeight="1">
      <x:c r="A21" s="90"/>
      <x:c r="B21" s="90"/>
      <x:c r="C21" s="195">
        <x:f aca="0"/>
      </x:c>
      <x:c r="D21" s="195">
        <x:f aca="0"/>
      </x:c>
      <x:c r="E21" s="195">
        <x:f aca="0"/>
      </x:c>
      <x:c r="F21" s="195">
        <x:f aca="0"/>
      </x:c>
      <x:c r="G21" s="195">
        <x:f aca="0"/>
      </x:c>
      <x:c r="H21" s="90"/>
      <x:c r="I21" s="90"/>
      <x:c r="J21" s="90"/>
      <x:c r="K21" s="2"/>
      <x:c r="L21" s="2"/>
    </x:row>
    <x:row r="22" ht="21" hidden="0" customHeight="1">
      <x:c r="A22" s="90"/>
      <x:c r="B22" s="115"/>
      <x:c r="C22" s="125">
        <x:f aca="0"/>
      </x:c>
      <x:c r="D22" s="125">
        <x:f aca="0"/>
      </x:c>
      <x:c r="E22" s="125">
        <x:f aca="0"/>
      </x:c>
      <x:c r="F22" s="125">
        <x:f aca="0"/>
      </x:c>
      <x:c r="G22" s="125">
        <x:f aca="0"/>
      </x:c>
      <x:c r="H22" s="90"/>
      <x:c r="I22" s="90"/>
      <x:c r="J22" s="90"/>
      <x:c r="K22" s="2"/>
      <x:c r="L22" s="2"/>
    </x:row>
    <x:row r="23" ht="21" hidden="0" customHeight="1">
      <x:c r="A23" s="90"/>
      <x:c r="B23" s="90" t="str">
        <x:v>PV of forecast cash flows</x:v>
      </x:c>
      <x:c r="C23" s="102" t="n">
        <x:f>SUM(C20:G20)</x:f>
        <x:v>1435215.246261846</x:v>
      </x:c>
      <x:c r="D23" s="90"/>
      <x:c r="E23" s="90"/>
      <x:c r="F23" s="90"/>
      <x:c r="G23" s="90"/>
      <x:c r="H23" s="90"/>
      <x:c r="I23" s="90"/>
      <x:c r="J23" s="90"/>
      <x:c r="K23" s="2"/>
      <x:c r="L23" s="2"/>
    </x:row>
    <x:row r="24" ht="21" hidden="0" customHeight="1">
      <x:c r="A24" s="90"/>
      <x:c r="B24" s="115"/>
      <x:c r="C24" s="125">
        <x:f aca="0"/>
      </x:c>
      <x:c r="D24" s="90"/>
      <x:c r="E24" s="90"/>
      <x:c r="F24" s="90"/>
      <x:c r="G24" s="90"/>
      <x:c r="H24" s="90"/>
      <x:c r="I24" s="90"/>
      <x:c r="J24" s="90"/>
      <x:c r="K24" s="2"/>
      <x:c r="L24" s="2"/>
    </x:row>
    <x:row r="25" ht="21" hidden="0" customHeight="1">
      <x:c r="A25" s="90"/>
      <x:c r="B25" s="90"/>
      <x:c r="C25" s="90"/>
      <x:c r="D25" s="90"/>
      <x:c r="E25" s="90"/>
      <x:c r="F25" s="90"/>
      <x:c r="G25" s="90"/>
      <x:c r="H25" s="90"/>
      <x:c r="I25" s="90"/>
      <x:c r="J25" s="90"/>
      <x:c r="K25" s="2"/>
      <x:c r="L25" s="2"/>
    </x:row>
    <x:row r="26" ht="21" hidden="0" customHeight="1">
      <x:c r="A26" s="90"/>
      <x:c r="B26" s="115" t="str">
        <x:v>Terminal revenue</x:v>
      </x:c>
      <x:c r="C26" s="199" t="n">
        <x:f>'Operating Forecast'!G9*(1+C10)</x:f>
        <x:v>1249218.4626</x:v>
      </x:c>
      <x:c r="D26" s="90"/>
      <x:c r="E26" s="90"/>
      <x:c r="F26" s="90"/>
      <x:c r="G26" s="90"/>
      <x:c r="H26" s="90"/>
      <x:c r="I26" s="90"/>
      <x:c r="J26" s="90"/>
      <x:c r="K26" s="2"/>
      <x:c r="L26" s="2"/>
    </x:row>
    <x:row r="27" ht="21" hidden="0" customHeight="1">
      <x:c r="A27" s="90"/>
      <x:c r="B27" s="90" t="str">
        <x:v>Terminal EBIT after SBC</x:v>
      </x:c>
      <x:c r="C27" s="197" t="n">
        <x:f aca="0">C26*('Assumptions'!$F$18-'Assumptions'!$F$13)</x:f>
        <x:v>712054.5236819999</x:v>
      </x:c>
      <x:c r="D27" s="90"/>
      <x:c r="E27" s="90"/>
      <x:c r="F27" s="90"/>
      <x:c r="G27" s="90"/>
      <x:c r="H27" s="90"/>
      <x:c r="I27" s="90"/>
      <x:c r="J27" s="90"/>
      <x:c r="K27" s="2"/>
      <x:c r="L27" s="2"/>
    </x:row>
    <x:row r="28" ht="21" hidden="0" customHeight="1">
      <x:c r="A28" s="90"/>
      <x:c r="B28" s="90" t="str">
        <x:v>Terminal cash tax</x:v>
      </x:c>
      <x:c r="C28" s="202" t="n">
        <x:f aca="0">-MAX(0,C27)*'Assumptions'!$F$12</x:f>
        <x:v>-117488.99640752998</x:v>
      </x:c>
      <x:c r="D28" s="90"/>
      <x:c r="E28" s="90"/>
      <x:c r="F28" s="90"/>
      <x:c r="G28" s="90"/>
      <x:c r="H28" s="90"/>
      <x:c r="I28" s="90"/>
      <x:c r="J28" s="90"/>
      <x:c r="K28" s="2"/>
      <x:c r="L28" s="2"/>
    </x:row>
    <x:row r="29" ht="21" hidden="0" customHeight="1">
      <x:c r="A29" s="90"/>
      <x:c r="B29" s="90" t="str">
        <x:v>Terminal D&amp;A</x:v>
      </x:c>
      <x:c r="C29" s="197" t="n">
        <x:f aca="0">C26*'Operating Forecast'!G16/'Operating Forecast'!G9</x:f>
        <x:v>18962.824949999995</x:v>
      </x:c>
      <x:c r="D29" s="90"/>
      <x:c r="E29" s="90"/>
      <x:c r="F29" s="90"/>
      <x:c r="G29" s="90"/>
      <x:c r="H29" s="90"/>
      <x:c r="I29" s="90"/>
      <x:c r="J29" s="90"/>
      <x:c r="K29" s="2"/>
      <x:c r="L29" s="2"/>
    </x:row>
    <x:row r="30" ht="21" hidden="0" customHeight="1">
      <x:c r="A30" s="90"/>
      <x:c r="B30" s="90" t="str">
        <x:v>Terminal maintenance + growth capex</x:v>
      </x:c>
      <x:c r="C30" s="197" t="n">
        <x:f aca="0">-C29-(C26-'Operating Forecast'!G9)*'Assumptions'!$C$31-C26*'Assumptions'!$C$43</x:f>
        <x:v>-31636.055729999956</x:v>
      </x:c>
      <x:c r="D30" s="90"/>
      <x:c r="E30" s="90"/>
      <x:c r="F30" s="90"/>
      <x:c r="G30" s="90"/>
      <x:c r="H30" s="90"/>
      <x:c r="I30" s="90"/>
      <x:c r="J30" s="90"/>
      <x:c r="K30" s="2"/>
      <x:c r="L30" s="2"/>
    </x:row>
    <x:row r="31" ht="21" hidden="0" customHeight="1">
      <x:c r="A31" s="90"/>
      <x:c r="B31" s="115" t="str">
        <x:v>Terminal working-capital investment</x:v>
      </x:c>
      <x:c r="C31" s="202" t="n">
        <x:f aca="0">-(C26-'Operating Forecast'!G9)*'Assumptions'!$F$14</x:f>
        <x:v>-6759.0564159999785</x:v>
      </x:c>
      <x:c r="D31" s="90"/>
      <x:c r="E31" s="90"/>
      <x:c r="F31" s="90"/>
      <x:c r="G31" s="90"/>
      <x:c r="H31" s="90"/>
      <x:c r="I31" s="90"/>
      <x:c r="J31" s="90"/>
      <x:c r="K31" s="2"/>
      <x:c r="L31" s="2"/>
    </x:row>
    <x:row r="32" ht="21" hidden="0" customHeight="1">
      <x:c r="A32" s="90"/>
      <x:c r="B32" s="90" t="str">
        <x:v>Terminal free cash flow</x:v>
      </x:c>
      <x:c r="C32" s="146" t="n">
        <x:f aca="0">SUM(C27:C31)</x:f>
        <x:v>575133.24007847</x:v>
      </x:c>
      <x:c r="D32" s="90"/>
      <x:c r="E32" s="132"/>
      <x:c r="F32" s="90"/>
      <x:c r="G32" s="90"/>
      <x:c r="H32" s="90"/>
      <x:c r="I32" s="90"/>
      <x:c r="J32" s="90"/>
      <x:c r="K32" s="2"/>
      <x:c r="L32" s="2"/>
    </x:row>
    <x:row r="33" ht="21" hidden="0" customHeight="1">
      <x:c r="A33" s="90"/>
      <x:c r="B33" s="90"/>
      <x:c r="C33" s="137">
        <x:f aca="0"/>
      </x:c>
      <x:c r="D33" s="90"/>
      <x:c r="E33" s="90"/>
      <x:c r="F33" s="90"/>
      <x:c r="G33" s="90"/>
      <x:c r="H33" s="90"/>
      <x:c r="I33" s="90"/>
      <x:c r="J33" s="90"/>
      <x:c r="K33" s="2"/>
      <x:c r="L33" s="2"/>
    </x:row>
    <x:row r="34" ht="21" hidden="0" customHeight="1">
      <x:c r="A34" s="90"/>
      <x:c r="B34" s="90" t="str">
        <x:v>Terminal value: perpetuity</x:v>
      </x:c>
      <x:c r="C34" s="102" t="n">
        <x:f>IF(C9&gt;C10,C32/(C9-C10),0)</x:f>
        <x:v>5670259.378076682</x:v>
      </x:c>
      <x:c r="D34" s="90"/>
      <x:c r="E34" s="90"/>
      <x:c r="F34" s="90"/>
      <x:c r="G34" s="90"/>
      <x:c r="H34" s="90"/>
      <x:c r="I34" s="90"/>
      <x:c r="J34" s="90"/>
      <x:c r="K34" s="2"/>
      <x:c r="L34" s="2"/>
    </x:row>
    <x:row r="35" ht="21" hidden="0" customHeight="1">
      <x:c r="A35" s="90"/>
      <x:c r="B35" s="115" t="str">
        <x:v>Terminal value: exit multiple</x:v>
      </x:c>
      <x:c r="C35" s="102" t="n">
        <x:f>C11*C50</x:f>
        <x:v>10965260.229479998</x:v>
      </x:c>
      <x:c r="D35" s="90"/>
      <x:c r="E35" s="90"/>
      <x:c r="F35" s="90"/>
      <x:c r="G35" s="90"/>
      <x:c r="H35" s="90"/>
      <x:c r="I35" s="90"/>
      <x:c r="J35" s="90"/>
      <x:c r="K35" s="2"/>
      <x:c r="L35" s="2"/>
    </x:row>
    <x:row r="36" ht="21" hidden="0" customHeight="1">
      <x:c r="A36" s="90"/>
      <x:c r="B36" s="90" t="str">
        <x:v>Exit value of new equity investments</x:v>
      </x:c>
      <x:c r="C36" s="197" t="n">
        <x:f aca="0">'Operating Forecast'!G52*'Assumptions'!$C$33</x:f>
        <x:v>18965.15</x:v>
      </x:c>
      <x:c r="D36" s="90"/>
      <x:c r="E36" s="90"/>
      <x:c r="F36" s="90"/>
      <x:c r="G36" s="90"/>
      <x:c r="H36" s="90"/>
      <x:c r="I36" s="90"/>
      <x:c r="J36" s="90"/>
      <x:c r="K36" s="2"/>
      <x:c r="L36" s="2"/>
    </x:row>
    <x:row r="37" ht="21" hidden="0" customHeight="1">
      <x:c r="A37" s="90"/>
      <x:c r="B37" s="90"/>
      <x:c r="C37" s="136" t="str">
        <x:f aca="0"/>
        <x:v>Perpetuity</x:v>
      </x:c>
      <x:c r="D37" s="90" t="str">
        <x:v>Exit multiple</x:v>
      </x:c>
      <x:c r="E37" s="90"/>
      <x:c r="F37" s="90"/>
      <x:c r="G37" s="90"/>
      <x:c r="H37" s="90"/>
      <x:c r="I37" s="90"/>
      <x:c r="J37" s="90"/>
      <x:c r="K37" s="2"/>
      <x:c r="L37" s="2"/>
    </x:row>
    <x:row r="38" ht="21" hidden="0" customHeight="1">
      <x:c r="A38" s="90"/>
      <x:c r="B38" s="90" t="str">
        <x:v>PV terminal operating value</x:v>
      </x:c>
      <x:c r="C38" s="146" t="n">
        <x:f aca="0">C34/(1+$C$9)^$G$15</x:f>
        <x:v>3231228.033573635</x:v>
      </x:c>
      <x:c r="D38" s="102" t="n">
        <x:f>C35/(1+$C$9)^$G$15</x:f>
        <x:v>6248612.962207015</x:v>
      </x:c>
      <x:c r="E38" s="90"/>
      <x:c r="F38" s="90"/>
      <x:c r="G38" s="90"/>
      <x:c r="H38" s="90"/>
      <x:c r="I38" s="90"/>
      <x:c r="J38" s="90"/>
      <x:c r="K38" s="2"/>
      <x:c r="L38" s="2"/>
    </x:row>
    <x:row r="39" ht="21" hidden="0" customHeight="1">
      <x:c r="A39" s="90"/>
      <x:c r="B39" s="115" t="str">
        <x:v>PV new investment portfolio</x:v>
      </x:c>
      <x:c r="C39" s="149" t="n">
        <x:f aca="0">$C$36/(1+$C$9)^$G$15</x:f>
        <x:v>10807.393499116275</x:v>
      </x:c>
      <x:c r="D39" s="102" t="n">
        <x:f>$C$36/(1+$C$9)^$G$15</x:f>
        <x:v>10807.393499116275</x:v>
      </x:c>
      <x:c r="E39" s="90"/>
      <x:c r="F39" s="90"/>
      <x:c r="G39" s="90"/>
      <x:c r="H39" s="90"/>
      <x:c r="I39" s="90"/>
      <x:c r="J39" s="90"/>
      <x:c r="K39" s="2"/>
      <x:c r="L39" s="2"/>
    </x:row>
    <x:row r="40" ht="21" hidden="0" customHeight="1">
      <x:c r="A40" s="90"/>
      <x:c r="B40" s="90" t="str">
        <x:v>Operating EV plus new investments</x:v>
      </x:c>
      <x:c r="C40" s="146" t="n">
        <x:f aca="0">$C$23+SUM(C38:C39)</x:f>
        <x:v>4677250.673334598</x:v>
      </x:c>
      <x:c r="D40" s="102" t="n">
        <x:f>$C$23+SUM(D38:D39)</x:f>
        <x:v>7694635.601967977</x:v>
      </x:c>
      <x:c r="E40" s="90"/>
      <x:c r="F40" s="90"/>
      <x:c r="G40" s="90"/>
      <x:c r="H40" s="90"/>
      <x:c r="I40" s="90"/>
      <x:c r="J40" s="90"/>
      <x:c r="K40" s="2"/>
      <x:c r="L40" s="2"/>
    </x:row>
    <x:row r="41" ht="21" hidden="0" customHeight="1">
      <x:c r="A41" s="90"/>
      <x:c r="B41" s="90"/>
      <x:c r="C41" s="90"/>
      <x:c r="D41" s="90"/>
      <x:c r="E41" s="90"/>
      <x:c r="F41" s="90"/>
      <x:c r="G41" s="90"/>
      <x:c r="H41" s="90"/>
      <x:c r="I41" s="90"/>
      <x:c r="J41" s="90"/>
      <x:c r="K41" s="2"/>
      <x:c r="L41" s="2"/>
    </x:row>
    <x:row r="42" ht="21" hidden="0" customHeight="1">
      <x:c r="A42" s="115"/>
      <x:c r="B42" s="115" t="str">
        <x:v>Net non-operating value at entry</x:v>
      </x:c>
      <x:c r="C42" s="200" t="n">
        <x:f>'Source Inputs'!$C$43</x:f>
        <x:v>66698.9</x:v>
      </x:c>
      <x:c r="D42" s="200" t="n">
        <x:f>'Source Inputs'!$C$43</x:f>
        <x:v>66698.9</x:v>
      </x:c>
      <x:c r="E42" s="115"/>
      <x:c r="F42" s="115"/>
      <x:c r="G42" s="115"/>
      <x:c r="H42" s="115"/>
      <x:c r="I42" s="115"/>
      <x:c r="J42" s="115"/>
      <x:c r="K42" s="2"/>
      <x:c r="L42" s="2"/>
    </x:row>
    <x:row r="43" ht="21" hidden="0" customHeight="1">
      <x:c r="A43" s="90"/>
      <x:c r="B43" s="90" t="str">
        <x:v>Equity value</x:v>
      </x:c>
      <x:c r="C43" s="149" t="n">
        <x:f>C40+C42</x:f>
        <x:v>4743949.573334598</x:v>
      </x:c>
      <x:c r="D43" s="149" t="n">
        <x:f>D40+D42</x:f>
        <x:v>7761334.501967978</x:v>
      </x:c>
      <x:c r="E43" s="90"/>
      <x:c r="F43" s="90"/>
      <x:c r="G43" s="90"/>
      <x:c r="H43" s="90"/>
      <x:c r="I43" s="90"/>
      <x:c r="J43" s="90"/>
      <x:c r="K43" s="2"/>
      <x:c r="L43" s="2"/>
    </x:row>
    <x:row r="44" ht="21" hidden="0" customHeight="1">
      <x:c r="A44" s="90"/>
      <x:c r="B44" s="115" t="str">
        <x:v>Diluted shares</x:v>
      </x:c>
      <x:c r="C44" s="202" t="n">
        <x:f aca="0">'Source Inputs'!$C$40</x:f>
        <x:v>24242</x:v>
      </x:c>
      <x:c r="D44" s="202" t="n">
        <x:f aca="0">'Source Inputs'!$C$40</x:f>
        <x:v>24242</x:v>
      </x:c>
      <x:c r="E44" s="90"/>
      <x:c r="F44" s="90"/>
      <x:c r="G44" s="90"/>
      <x:c r="H44" s="90"/>
      <x:c r="I44" s="90"/>
      <x:c r="J44" s="90"/>
      <x:c r="K44" s="2"/>
      <x:c r="L44" s="2"/>
    </x:row>
    <x:row r="45" ht="21" hidden="0" customHeight="1">
      <x:c r="A45" s="90"/>
      <x:c r="B45" s="90" t="str">
        <x:v>Value per share</x:v>
      </x:c>
      <x:c r="C45" s="203" t="n">
        <x:f aca="0">C43/C44</x:f>
        <x:v>195.6913444985809</x:v>
      </x:c>
      <x:c r="D45" s="203" t="n">
        <x:f aca="0">D43/D44</x:f>
        <x:v>320.16065101757187</x:v>
      </x:c>
      <x:c r="E45" s="90"/>
      <x:c r="F45" s="90"/>
      <x:c r="G45" s="90"/>
      <x:c r="H45" s="90"/>
      <x:c r="I45" s="90"/>
      <x:c r="J45" s="90"/>
      <x:c r="K45" s="2"/>
      <x:c r="L45" s="2"/>
    </x:row>
    <x:row r="46" ht="21" hidden="0" customHeight="1">
      <x:c r="A46" s="90"/>
      <x:c r="B46" s="115" t="str">
        <x:v>Share-price assumption</x:v>
      </x:c>
      <x:c r="C46" s="226" t="n">
        <x:f aca="0">'Source Inputs'!$C$7</x:f>
        <x:v>230.36</x:v>
      </x:c>
      <x:c r="D46" s="226" t="n">
        <x:f aca="0">'Source Inputs'!$C$7</x:f>
        <x:v>230.36</x:v>
      </x:c>
      <x:c r="E46" s="90"/>
      <x:c r="F46" s="90"/>
      <x:c r="G46" s="90"/>
      <x:c r="H46" s="90"/>
      <x:c r="I46" s="90"/>
      <x:c r="J46" s="90"/>
      <x:c r="K46" s="2"/>
      <x:c r="L46" s="2"/>
    </x:row>
    <x:row r="47" ht="21" hidden="0" customHeight="1">
      <x:c r="A47" s="90"/>
      <x:c r="B47" s="90" t="str">
        <x:v>Implied return to price</x:v>
      </x:c>
      <x:c r="C47" s="150" t="n">
        <x:f aca="0">C45/C46-1</x:f>
        <x:v>-0.15049772313517595</x:v>
      </x:c>
      <x:c r="D47" s="150" t="n">
        <x:f aca="0">D45/D46-1</x:f>
        <x:v>0.389827448418006</x:v>
      </x:c>
      <x:c r="E47" s="90"/>
      <x:c r="F47" s="90"/>
      <x:c r="G47" s="90"/>
      <x:c r="H47" s="90"/>
      <x:c r="I47" s="90"/>
      <x:c r="J47" s="90"/>
      <x:c r="K47" s="2"/>
      <x:c r="L47" s="2"/>
    </x:row>
    <x:row r="48" ht="21" hidden="0" customHeight="1">
      <x:c r="A48" s="90"/>
      <x:c r="B48" s="115"/>
      <x:c r="C48" s="193">
        <x:f aca="0"/>
      </x:c>
      <x:c r="D48" s="193">
        <x:f aca="0"/>
      </x:c>
      <x:c r="E48" s="90"/>
      <x:c r="F48" s="90"/>
      <x:c r="G48" s="90"/>
      <x:c r="H48" s="90"/>
      <x:c r="I48" s="90"/>
      <x:c r="J48" s="90"/>
      <x:c r="K48" s="2"/>
      <x:c r="L48" s="2"/>
    </x:row>
    <x:row r="49" ht="21" hidden="0" customHeight="1">
      <x:c r="A49" s="90"/>
      <x:c r="B49" s="90" t="str">
        <x:v>Terminal operating value / total value</x:v>
      </x:c>
      <x:c r="C49" s="150" t="n">
        <x:f aca="0">C38/C40</x:f>
        <x:v>0.6908391829403414</x:v>
      </x:c>
      <x:c r="D49" s="150" t="n">
        <x:f aca="0">D38/D40</x:f>
        <x:v>0.8120739285702979</x:v>
      </x:c>
      <x:c r="E49" s="90"/>
      <x:c r="F49" s="90"/>
      <x:c r="G49" s="90"/>
      <x:c r="H49" s="90"/>
      <x:c r="I49" s="90"/>
      <x:c r="J49" s="90"/>
      <x:c r="K49" s="2"/>
      <x:c r="L49" s="2"/>
    </x:row>
    <x:row r="50" ht="21" hidden="0" customHeight="1">
      <x:c r="A50" s="90"/>
      <x:c r="B50" s="115" t="str">
        <x:v>Terminal EBITDA after SBC</x:v>
      </x:c>
      <x:c r="C50" s="149" t="n">
        <x:f aca="0">C27+C29</x:f>
        <x:v>731017.3486319999</x:v>
      </x:c>
      <x:c r="D50" s="123">
        <x:f aca="0"/>
      </x:c>
      <x:c r="E50" s="90"/>
      <x:c r="F50" s="90"/>
      <x:c r="G50" s="90"/>
      <x:c r="H50" s="90"/>
      <x:c r="I50" s="90"/>
      <x:c r="J50" s="90"/>
      <x:c r="K50" s="2"/>
      <x:c r="L50" s="2"/>
    </x:row>
    <x:row r="51" ht="21" hidden="0" customHeight="1">
      <x:c r="A51" s="90"/>
      <x:c r="B51" s="132"/>
      <x:c r="C51" s="90"/>
      <x:c r="D51" s="90"/>
      <x:c r="E51" s="90"/>
      <x:c r="F51" s="90"/>
      <x:c r="G51" s="90"/>
      <x:c r="H51" s="90"/>
      <x:c r="I51" s="90"/>
      <x:c r="J51" s="90"/>
      <x:c r="K51" s="2"/>
      <x:c r="L51" s="2"/>
    </x:row>
    <x:row r="52" ht="21" hidden="0" customHeight="1">
      <x:c r="A52" s="90"/>
      <x:c r="B52" s="90"/>
      <x:c r="C52" s="90"/>
      <x:c r="D52" s="90"/>
      <x:c r="E52" s="90"/>
      <x:c r="F52" s="90"/>
      <x:c r="G52" s="90"/>
      <x:c r="H52" s="90"/>
      <x:c r="I52" s="90"/>
      <x:c r="J52" s="90"/>
      <x:c r="K52" s="2"/>
      <x:c r="L52" s="2"/>
    </x:row>
    <x:row r="53" ht="21" hidden="0" customHeight="1">
      <x:c r="A53" s="90"/>
      <x:c r="B53" s="90"/>
      <x:c r="C53" s="90"/>
      <x:c r="D53" s="90"/>
      <x:c r="E53" s="90"/>
      <x:c r="F53" s="90"/>
      <x:c r="G53" s="90"/>
      <x:c r="H53" s="90"/>
      <x:c r="I53" s="90"/>
      <x:c r="J53" s="90"/>
      <x:c r="K53" s="2"/>
      <x:c r="L53" s="2"/>
    </x:row>
    <x:row r="54" ht="21" hidden="0" customHeight="1">
      <x:c r="A54" s="90"/>
      <x:c r="B54" s="111" t="str">
        <x:v>The terminal case uses the terminal margin assumption, ongoing SBC, maintenance capital equal to D&amp;A, and additional capital plus working capital for growth. The exit multiple is applied to terminal-year EBITDA on the same margin basis.</x:v>
      </x:c>
      <x:c r="C54" s="111"/>
      <x:c r="D54" s="111"/>
      <x:c r="E54" s="111"/>
      <x:c r="F54" s="111"/>
      <x:c r="G54" s="111"/>
      <x:c r="H54" s="111"/>
      <x:c r="I54" s="111"/>
      <x:c r="J54" s="111"/>
      <x:c r="K54" s="2"/>
      <x:c r="L54" s="2"/>
    </x:row>
    <x:row r="55" ht="21" hidden="0" customHeight="1">
      <x:c r="A55" s="90"/>
      <x:c r="B55" s="111"/>
      <x:c r="C55" s="111"/>
      <x:c r="D55" s="111"/>
      <x:c r="E55" s="111"/>
      <x:c r="F55" s="111"/>
      <x:c r="G55" s="111"/>
      <x:c r="H55" s="111"/>
      <x:c r="I55" s="111"/>
      <x:c r="J55" s="111"/>
      <x:c r="K55" s="2"/>
      <x:c r="L55" s="2"/>
    </x:row>
    <x:row r="56" ht="21" hidden="0" customHeight="1">
      <x:c r="A56" s="90"/>
      <x:c r="B56" s="111"/>
      <x:c r="C56" s="111"/>
      <x:c r="D56" s="111"/>
      <x:c r="E56" s="111"/>
      <x:c r="F56" s="111"/>
      <x:c r="G56" s="111"/>
      <x:c r="H56" s="111"/>
      <x:c r="I56" s="111"/>
      <x:c r="J56" s="111"/>
      <x:c r="K56" s="2"/>
      <x:c r="L56" s="2"/>
    </x:row>
    <x:row r="57" ht="21" hidden="0" customHeight="1">
      <x:c r="A57" s="90"/>
      <x:c r="B57" s="90"/>
      <x:c r="C57" s="90"/>
      <x:c r="D57" s="90"/>
      <x:c r="E57" s="90"/>
      <x:c r="F57" s="90"/>
      <x:c r="G57" s="90"/>
      <x:c r="H57" s="90"/>
      <x:c r="I57" s="90"/>
      <x:c r="J57" s="90"/>
      <x:c r="K57" s="2"/>
      <x:c r="L57" s="2"/>
    </x:row>
    <x:row r="58" ht="21" hidden="0" customHeight="1">
      <x:c r="A58" s="90"/>
      <x:c r="B58" s="90"/>
      <x:c r="C58" s="90"/>
      <x:c r="D58" s="90"/>
      <x:c r="E58" s="90"/>
      <x:c r="F58" s="90"/>
      <x:c r="G58" s="90"/>
      <x:c r="H58" s="90"/>
      <x:c r="I58" s="90"/>
      <x:c r="J58" s="90"/>
      <x:c r="K58" s="2"/>
      <x:c r="L58" s="2"/>
    </x:row>
    <x:row r="59" ht="21" hidden="0" customHeight="1">
      <x:c r="A59" s="90"/>
      <x:c r="B59" s="111" t="str">
        <x:v>The base forecast is retained from the supplied workbook as a planning assumption. A trillion-dollar revenue forecast is a demanding outcome. Assess customer returns, capacity commitments, product transitions and pricing before accepting it.</x:v>
      </x:c>
      <x:c r="C59" s="111"/>
      <x:c r="D59" s="111"/>
      <x:c r="E59" s="111"/>
      <x:c r="F59" s="111"/>
      <x:c r="G59" s="111"/>
      <x:c r="H59" s="111"/>
      <x:c r="I59" s="111"/>
      <x:c r="J59" s="111"/>
      <x:c r="K59" s="2"/>
      <x:c r="L59" s="2"/>
    </x:row>
    <x:row r="60" ht="21" hidden="0" customHeight="1">
      <x:c r="A60" s="90"/>
      <x:c r="B60" s="111"/>
      <x:c r="C60" s="111"/>
      <x:c r="D60" s="111"/>
      <x:c r="E60" s="111"/>
      <x:c r="F60" s="111"/>
      <x:c r="G60" s="111"/>
      <x:c r="H60" s="111"/>
      <x:c r="I60" s="111"/>
      <x:c r="J60" s="111"/>
      <x:c r="K60" s="2"/>
      <x:c r="L60" s="2"/>
    </x:row>
    <x:row r="61" ht="21" hidden="0" customHeight="1">
      <x:c r="A61" s="90"/>
      <x:c r="B61" s="111"/>
      <x:c r="C61" s="111"/>
      <x:c r="D61" s="111"/>
      <x:c r="E61" s="111"/>
      <x:c r="F61" s="111"/>
      <x:c r="G61" s="111"/>
      <x:c r="H61" s="111"/>
      <x:c r="I61" s="111"/>
      <x:c r="J61" s="111"/>
      <x:c r="K61" s="2"/>
      <x:c r="L61" s="2"/>
    </x:row>
    <x:row r="62" ht="21" hidden="0" customHeight="1">
      <x:c r="A62" s="90"/>
      <x:c r="B62" s="90"/>
      <x:c r="C62" s="90"/>
      <x:c r="D62" s="90"/>
      <x:c r="E62" s="90"/>
      <x:c r="F62" s="90"/>
      <x:c r="G62" s="90"/>
      <x:c r="H62" s="90"/>
      <x:c r="I62" s="90"/>
      <x:c r="J62" s="90"/>
      <x:c r="K62" s="2"/>
      <x:c r="L62" s="2"/>
    </x:row>
    <x:row r="63" ht="21" hidden="0" customHeight="1">
      <x:c r="A63" s="90"/>
      <x:c r="B63" s="90"/>
      <x:c r="C63" s="90"/>
      <x:c r="D63" s="90"/>
      <x:c r="E63" s="90"/>
      <x:c r="F63" s="90"/>
      <x:c r="G63" s="90"/>
      <x:c r="H63" s="90"/>
      <x:c r="I63" s="90"/>
      <x:c r="J63" s="90"/>
      <x:c r="K63" s="2"/>
      <x:c r="L63" s="2"/>
    </x:row>
    <x:row r="64" ht="21" hidden="0" customHeight="1">
      <x:c r="A64" s="90"/>
      <x:c r="B64" s="111" t="str">
        <x:v>The July 26 capital bridge is carried to the valuation date using the explicit intervening-cash adjustment. Existing investments sit in that bridge. Future committed investments and the assumed FY2028 Hugging Face cash payment are cash outflows, with assumed recovery at exit. H2 commitments are assumed unpaid at valuation; they are not prorated away.</x:v>
      </x:c>
      <x:c r="C64" s="111"/>
      <x:c r="D64" s="111"/>
      <x:c r="E64" s="111"/>
      <x:c r="F64" s="111"/>
      <x:c r="G64" s="111"/>
      <x:c r="H64" s="111"/>
      <x:c r="I64" s="111"/>
      <x:c r="J64" s="111"/>
      <x:c r="K64" s="2"/>
      <x:c r="L64" s="2"/>
    </x:row>
    <x:row r="65" ht="21" hidden="0" customHeight="1">
      <x:c r="A65" s="90"/>
      <x:c r="B65" s="111"/>
      <x:c r="C65" s="111"/>
      <x:c r="D65" s="111"/>
      <x:c r="E65" s="111"/>
      <x:c r="F65" s="111"/>
      <x:c r="G65" s="111"/>
      <x:c r="H65" s="111"/>
      <x:c r="I65" s="111"/>
      <x:c r="J65" s="111"/>
      <x:c r="K65" s="2"/>
      <x:c r="L65" s="2"/>
    </x:row>
    <x:row r="66" ht="21" hidden="0" customHeight="1">
      <x:c r="A66" s="90"/>
      <x:c r="B66" s="111"/>
      <x:c r="C66" s="111"/>
      <x:c r="D66" s="111"/>
      <x:c r="E66" s="111"/>
      <x:c r="F66" s="111"/>
      <x:c r="G66" s="111"/>
      <x:c r="H66" s="111"/>
      <x:c r="I66" s="111"/>
      <x:c r="J66" s="111"/>
      <x:c r="K66" s="2"/>
      <x:c r="L66" s="2"/>
    </x:row>
    <x:row r="67" ht="21" hidden="0" customHeight="1">
      <x:c r="A67" s="90"/>
      <x:c r="B67" s="90"/>
      <x:c r="C67" s="90"/>
      <x:c r="D67" s="90"/>
      <x:c r="E67" s="90"/>
      <x:c r="F67" s="90"/>
      <x:c r="G67" s="90"/>
      <x:c r="H67" s="90"/>
      <x:c r="I67" s="90"/>
      <x:c r="J67" s="90"/>
      <x:c r="K67" s="2"/>
      <x:c r="L67" s="2"/>
    </x:row>
    <x:row r="68" ht="21" hidden="0" customHeight="1">
      <x:c r="A68" s="90"/>
      <x:c r="B68" s="90"/>
      <x:c r="C68" s="90"/>
      <x:c r="D68" s="90"/>
      <x:c r="E68" s="90"/>
      <x:c r="F68" s="90"/>
      <x:c r="G68" s="90"/>
      <x:c r="H68" s="90"/>
      <x:c r="I68" s="90"/>
      <x:c r="J68" s="90"/>
      <x:c r="K68" s="2"/>
      <x:c r="L68" s="2"/>
    </x:row>
    <x:row r="69" ht="21" hidden="0" customHeight="1">
      <x:c r="A69" s="90"/>
      <x:c r="B69" s="90"/>
      <x:c r="C69" s="90"/>
      <x:c r="D69" s="90"/>
      <x:c r="E69" s="90"/>
      <x:c r="F69" s="90"/>
      <x:c r="G69" s="90"/>
      <x:c r="H69" s="90"/>
      <x:c r="I69" s="90"/>
      <x:c r="J69" s="90"/>
      <x:c r="K69" s="2"/>
      <x:c r="L69" s="2"/>
    </x:row>
    <x:row r="70" ht="21" hidden="0" customHeight="1">
      <x:c r="A70" s="90"/>
      <x:c r="B70" s="90"/>
      <x:c r="C70" s="90"/>
      <x:c r="D70" s="90"/>
      <x:c r="E70" s="90"/>
      <x:c r="F70" s="90"/>
      <x:c r="G70" s="90"/>
      <x:c r="H70" s="90"/>
      <x:c r="I70" s="90"/>
      <x:c r="J70" s="90"/>
      <x:c r="K70" s="2"/>
      <x:c r="L70" s="2"/>
    </x:row>
    <x:row r="71" ht="21" hidden="0" customHeight="1">
      <x:c r="A71" s="90"/>
      <x:c r="B71" s="90"/>
      <x:c r="C71" s="90"/>
      <x:c r="D71" s="90"/>
      <x:c r="E71" s="90"/>
      <x:c r="F71" s="90"/>
      <x:c r="G71" s="90"/>
      <x:c r="H71" s="90"/>
      <x:c r="I71" s="90"/>
      <x:c r="J71" s="90"/>
      <x:c r="K71" s="2"/>
      <x:c r="L71" s="2"/>
    </x:row>
    <x:row r="72" ht="21" hidden="0" customHeight="1">
      <x:c r="A72" s="90"/>
      <x:c r="B72" s="90"/>
      <x:c r="C72" s="90"/>
      <x:c r="D72" s="90"/>
      <x:c r="E72" s="90"/>
      <x:c r="F72" s="90"/>
      <x:c r="G72" s="90"/>
      <x:c r="H72" s="90"/>
      <x:c r="I72" s="90"/>
      <x:c r="J72" s="90"/>
      <x:c r="K72" s="2"/>
      <x:c r="L72" s="2"/>
    </x:row>
    <x:row r="73" ht="21" hidden="0" customHeight="1">
      <x:c r="A73" s="90"/>
      <x:c r="B73" s="90"/>
      <x:c r="C73" s="90"/>
      <x:c r="D73" s="90"/>
      <x:c r="E73" s="90"/>
      <x:c r="F73" s="90"/>
      <x:c r="G73" s="90"/>
      <x:c r="H73" s="90"/>
      <x:c r="I73" s="90"/>
      <x:c r="J73" s="90"/>
      <x:c r="K73" s="2"/>
      <x:c r="L73" s="2"/>
    </x:row>
    <x:row r="74" ht="21" hidden="0" customHeight="1">
      <x:c r="A74" s="90"/>
      <x:c r="B74" s="90"/>
      <x:c r="C74" s="90"/>
      <x:c r="D74" s="90"/>
      <x:c r="E74" s="90"/>
      <x:c r="F74" s="90"/>
      <x:c r="G74" s="90"/>
      <x:c r="H74" s="90"/>
      <x:c r="I74" s="90"/>
      <x:c r="J74" s="90"/>
      <x:c r="K74" s="2"/>
      <x:c r="L74" s="2"/>
    </x:row>
    <x:row r="75" ht="21" hidden="0" customHeight="1">
      <x:c r="A75" s="90"/>
      <x:c r="B75" s="90"/>
      <x:c r="C75" s="90"/>
      <x:c r="D75" s="90"/>
      <x:c r="E75" s="90"/>
      <x:c r="F75" s="90"/>
      <x:c r="G75" s="90"/>
      <x:c r="H75" s="90"/>
      <x:c r="I75" s="90"/>
      <x:c r="J75" s="90"/>
      <x:c r="K75" s="2"/>
      <x:c r="L75" s="2"/>
    </x:row>
    <x:row r="76" ht="21" hidden="0" customHeight="1">
      <x:c r="A76" s="90"/>
      <x:c r="B76" s="90"/>
      <x:c r="C76" s="90"/>
      <x:c r="D76" s="90"/>
      <x:c r="E76" s="90"/>
      <x:c r="F76" s="90"/>
      <x:c r="G76" s="90"/>
      <x:c r="H76" s="90"/>
      <x:c r="I76" s="90"/>
      <x:c r="J76" s="90"/>
      <x:c r="K76" s="2"/>
      <x:c r="L76" s="2"/>
    </x:row>
    <x:row r="77" ht="21" hidden="0" customHeight="1">
      <x:c r="A77" s="90"/>
      <x:c r="B77" s="90"/>
      <x:c r="C77" s="90"/>
      <x:c r="D77" s="90"/>
      <x:c r="E77" s="90"/>
      <x:c r="F77" s="90"/>
      <x:c r="G77" s="90"/>
      <x:c r="H77" s="90"/>
      <x:c r="I77" s="90"/>
      <x:c r="J77" s="90"/>
      <x:c r="K77" s="2"/>
      <x:c r="L77" s="2"/>
    </x:row>
    <x:row r="78" ht="15" hidden="0">
      <x:c r="A78" s="2"/>
      <x:c r="B78" s="2"/>
      <x:c r="C78" s="2"/>
      <x:c r="D78" s="2"/>
      <x:c r="E78" s="2"/>
      <x:c r="F78" s="2"/>
      <x:c r="G78" s="2"/>
      <x:c r="H78" s="2"/>
      <x:c r="I78" s="2"/>
      <x:c r="J78" s="2"/>
      <x:c r="K78" s="2"/>
      <x:c r="L78" s="2"/>
    </x:row>
    <x:row r="79" ht="15" hidden="0">
      <x:c r="A79" s="2"/>
      <x:c r="B79" s="2"/>
      <x:c r="C79" s="2"/>
      <x:c r="D79" s="2"/>
      <x:c r="E79" s="2"/>
      <x:c r="F79" s="2"/>
      <x:c r="G79" s="2"/>
      <x:c r="H79" s="2"/>
      <x:c r="I79" s="2"/>
      <x:c r="J79" s="2"/>
      <x:c r="K79" s="2"/>
      <x:c r="L79" s="2"/>
    </x:row>
    <x:row r="80" ht="15" hidden="0">
      <x:c r="A80" s="2"/>
      <x:c r="B80" s="2"/>
      <x:c r="C80" s="2"/>
      <x:c r="D80" s="2"/>
      <x:c r="E80" s="2"/>
      <x:c r="F80" s="2"/>
      <x:c r="G80" s="2"/>
      <x:c r="H80" s="2"/>
      <x:c r="I80" s="2"/>
      <x:c r="J80" s="2"/>
      <x:c r="K80" s="2"/>
      <x:c r="L80" s="2"/>
    </x:row>
  </x:sheetData>
  <x:mergeCells>
    <x:mergeCell ref="A1:J1"/>
    <x:mergeCell ref="A2:J3"/>
    <x:mergeCell ref="B54:J56"/>
    <x:mergeCell ref="B59:J61"/>
    <x:mergeCell ref="B64:J66"/>
  </x:mergeCells>
  <x:pageMargins left="0.7" right="0.7" top="0.75" bottom="0.75" header="0.3" footer="0.3"/>
</x:worksheet>
</file>

<file path=xl/worksheets/sheet9.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25" hidden="0" customWidth="1"/>
    <x:col min="3" max="4" width="22" hidden="0" customWidth="1"/>
    <x:col min="5" max="5" width="17" hidden="0" customWidth="1"/>
    <x:col min="6" max="6" width="17" hidden="0" customWidth="1"/>
    <x:col min="3" max="3" width="17" hidden="0" customWidth="1"/>
    <x:col min="4" max="4" width="17" hidden="0" customWidth="1"/>
    <x:col min="7" max="7" width="17" hidden="0" customWidth="1"/>
    <x:col min="8" max="8" width="17" hidden="0" customWidth="1"/>
    <x:col min="9" max="9" width="17" hidden="0" customWidth="1"/>
    <x:col min="10" max="10" width="17" hidden="0" customWidth="1"/>
  </x:cols>
  <x:sheetData>
    <x:row r="1" ht="32" hidden="0" customHeight="1">
      <x:c r="A1" s="142" t="str">
        <x:v>NVIDIA | TRANSACTION REFERENCES</x:v>
      </x:c>
      <x:c r="B1" s="142"/>
      <x:c r="C1" s="142"/>
      <x:c r="D1" s="142"/>
      <x:c r="E1" s="142"/>
      <x:c r="F1" s="142"/>
      <x:c r="G1" s="142"/>
      <x:c r="H1" s="142"/>
      <x:c r="I1" s="92"/>
      <x:c r="J1" s="92"/>
    </x:row>
    <x:row r="2" ht="21" hidden="0" customHeight="1">
      <x:c r="A2" s="144" t="str">
        <x:v>Announced consideration is shown with its definition. These references do not supply an applied valuation multiple.</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90"/>
      <x:c r="J4" s="90"/>
    </x:row>
    <x:row r="5" ht="21" hidden="0" customHeight="1">
      <x:c r="A5" s="90"/>
      <x:c r="B5" s="131" t="str">
        <x:v>Announcement</x:v>
      </x:c>
      <x:c r="C5" s="131" t="str">
        <x:v>Target</x:v>
      </x:c>
      <x:c r="D5" s="131" t="str">
        <x:v>Buyer</x:v>
      </x:c>
      <x:c r="E5" s="118" t="str">
        <x:v>US$ millions</x:v>
      </x:c>
      <x:c r="F5" s="131" t="str">
        <x:v>Value basis</x:v>
      </x:c>
      <x:c r="G5" s="90"/>
      <x:c r="H5" s="90"/>
      <x:c r="I5" s="90"/>
      <x:c r="J5" s="90"/>
    </x:row>
    <x:row r="6" ht="21" hidden="0" customHeight="1">
      <x:c r="A6" s="90"/>
      <x:c r="B6" s="95" t="n">
        <x:v>44707</x:v>
      </x:c>
      <x:c r="C6" s="90" t="str">
        <x:v>VMware</x:v>
      </x:c>
      <x:c r="D6" s="90" t="str">
        <x:v>Broadcom</x:v>
      </x:c>
      <x:c r="E6" s="146" t="n">
        <x:v>69000</x:v>
      </x:c>
      <x:c r="F6" s="231" t="str">
        <x:v>EV: $61bn equity + $8bn net debt</x:v>
      </x:c>
      <x:c r="G6" s="96"/>
      <x:c r="H6" s="96"/>
      <x:c r="I6" s="96"/>
      <x:c r="J6" s="96"/>
    </x:row>
    <x:row r="7" ht="21" hidden="0" customHeight="1">
      <x:c r="A7" s="90"/>
      <x:c r="B7" s="90"/>
      <x:c r="C7" s="90"/>
      <x:c r="D7" s="90"/>
      <x:c r="E7" s="136"/>
      <x:c r="F7" s="231"/>
      <x:c r="G7" s="96"/>
      <x:c r="H7" s="96"/>
      <x:c r="I7" s="96"/>
      <x:c r="J7" s="96"/>
    </x:row>
    <x:row r="8" ht="21" hidden="0" customHeight="1">
      <x:c r="A8" s="90"/>
      <x:c r="B8" s="111" t="str">
        <x:v>https://www.broadcom.com/company/news/financial-releases/60271</x:v>
      </x:c>
      <x:c r="C8" s="111"/>
      <x:c r="D8" s="111"/>
      <x:c r="E8" s="251"/>
      <x:c r="F8" s="232"/>
      <x:c r="G8" s="111"/>
      <x:c r="H8" s="111"/>
      <x:c r="I8" s="111"/>
      <x:c r="J8" s="111"/>
    </x:row>
    <x:row r="9" ht="21" hidden="0" customHeight="1">
      <x:c r="A9" s="90"/>
      <x:c r="B9" s="111"/>
      <x:c r="C9" s="111"/>
      <x:c r="D9" s="111"/>
      <x:c r="E9" s="251"/>
      <x:c r="F9" s="232"/>
      <x:c r="G9" s="111"/>
      <x:c r="H9" s="111"/>
      <x:c r="I9" s="111"/>
      <x:c r="J9" s="111"/>
    </x:row>
    <x:row r="10" ht="21" hidden="0" customHeight="1">
      <x:c r="A10" s="90"/>
      <x:c r="B10" s="111"/>
      <x:c r="C10" s="111"/>
      <x:c r="D10" s="111"/>
      <x:c r="E10" s="251"/>
      <x:c r="F10" s="232"/>
      <x:c r="G10" s="111"/>
      <x:c r="H10" s="111"/>
      <x:c r="I10" s="111"/>
      <x:c r="J10" s="111"/>
    </x:row>
    <x:row r="11" ht="21" hidden="0" customHeight="1">
      <x:c r="A11" s="90"/>
      <x:c r="B11" s="90"/>
      <x:c r="C11" s="90"/>
      <x:c r="D11" s="90"/>
      <x:c r="E11" s="90"/>
      <x:c r="F11" s="90"/>
      <x:c r="G11" s="90"/>
      <x:c r="H11" s="90"/>
      <x:c r="I11" s="90"/>
      <x:c r="J11" s="90"/>
    </x:row>
    <x:row r="12" ht="21" hidden="0" customHeight="1">
      <x:c r="A12" s="90"/>
      <x:c r="B12" s="256" t="n">
        <x:v>44131</x:v>
      </x:c>
      <x:c r="C12" s="255" t="str">
        <x:v>Xilinx</x:v>
      </x:c>
      <x:c r="D12" s="255" t="str">
        <x:v>AMD</x:v>
      </x:c>
      <x:c r="E12" s="257" t="n">
        <x:v>35000</x:v>
      </x:c>
      <x:c r="F12" s="255" t="str">
        <x:v>Announced equity consideration</x:v>
      </x:c>
      <x:c r="G12" s="96"/>
      <x:c r="H12" s="96"/>
      <x:c r="I12" s="96"/>
      <x:c r="J12" s="96"/>
    </x:row>
    <x:row r="13" ht="21" hidden="0" customHeight="1">
      <x:c r="A13" s="90"/>
      <x:c r="B13" s="255"/>
      <x:c r="C13" s="255"/>
      <x:c r="D13" s="255"/>
      <x:c r="E13" s="255"/>
      <x:c r="F13" s="255"/>
      <x:c r="G13" s="96"/>
      <x:c r="H13" s="96"/>
      <x:c r="I13" s="96"/>
      <x:c r="J13" s="96"/>
    </x:row>
    <x:row r="14" ht="21" hidden="0" customHeight="1">
      <x:c r="A14" s="90"/>
      <x:c r="B14" s="255" t="str">
        <x:v>https://ir.amd.com/news-events/press-releases/detail/977/amd-to-acquire-xilinx-creating-the-industrys-high-performance-computing-leader</x:v>
      </x:c>
      <x:c r="C14" s="255"/>
      <x:c r="D14" s="255"/>
      <x:c r="E14" s="255"/>
      <x:c r="F14" s="255"/>
      <x:c r="G14" s="111"/>
      <x:c r="H14" s="111"/>
      <x:c r="I14" s="111"/>
      <x:c r="J14" s="111"/>
    </x:row>
    <x:row r="15" ht="21" hidden="0" customHeight="1">
      <x:c r="A15" s="90"/>
      <x:c r="B15" s="255"/>
      <x:c r="C15" s="255"/>
      <x:c r="D15" s="255"/>
      <x:c r="E15" s="255"/>
      <x:c r="F15" s="255"/>
      <x:c r="G15" s="111"/>
      <x:c r="H15" s="111"/>
      <x:c r="I15" s="111"/>
      <x:c r="J15" s="111"/>
    </x:row>
    <x:row r="16" ht="21" hidden="0" customHeight="1">
      <x:c r="A16" s="90"/>
      <x:c r="B16" s="111"/>
      <x:c r="C16" s="111"/>
      <x:c r="D16" s="111"/>
      <x:c r="E16" s="111"/>
      <x:c r="F16" s="111"/>
      <x:c r="G16" s="111"/>
      <x:c r="H16" s="111"/>
      <x:c r="I16" s="111"/>
      <x:c r="J16" s="111"/>
    </x:row>
    <x:row r="17" ht="21" hidden="0" customHeight="1">
      <x:c r="A17" s="90"/>
      <x:c r="B17" s="90"/>
      <x:c r="C17" s="90"/>
      <x:c r="D17" s="90"/>
      <x:c r="E17" s="90"/>
      <x:c r="F17" s="90"/>
      <x:c r="G17" s="90"/>
      <x:c r="H17" s="90"/>
      <x:c r="I17" s="90"/>
      <x:c r="J17" s="90"/>
    </x:row>
    <x:row r="18" ht="21" hidden="0" customHeight="1">
      <x:c r="A18" s="90"/>
      <x:c r="B18" s="95" t="n">
        <x:v>45307</x:v>
      </x:c>
      <x:c r="C18" s="90" t="str">
        <x:v>Ansys</x:v>
      </x:c>
      <x:c r="D18" s="90" t="str">
        <x:v>Synopsys</x:v>
      </x:c>
      <x:c r="E18" s="102" t="n">
        <x:v>35000</x:v>
      </x:c>
      <x:c r="F18" s="96" t="str">
        <x:v>Announced enterprise value</x:v>
      </x:c>
      <x:c r="G18" s="96"/>
      <x:c r="H18" s="96"/>
      <x:c r="I18" s="96"/>
      <x:c r="J18" s="96"/>
    </x:row>
    <x:row r="19" ht="21" hidden="0" customHeight="1">
      <x:c r="A19" s="90"/>
      <x:c r="B19" s="90"/>
      <x:c r="C19" s="90"/>
      <x:c r="D19" s="90"/>
      <x:c r="E19" s="90"/>
      <x:c r="F19" s="96"/>
      <x:c r="G19" s="96"/>
      <x:c r="H19" s="96"/>
      <x:c r="I19" s="96"/>
      <x:c r="J19" s="96"/>
    </x:row>
    <x:row r="20" ht="21" hidden="0" customHeight="1">
      <x:c r="A20" s="90"/>
      <x:c r="B20" s="111" t="str">
        <x:v>https://ansys.synopsys.com/news-center/press-releases/1-16-24-synopsys-acquires-ansys</x:v>
      </x:c>
      <x:c r="C20" s="111"/>
      <x:c r="D20" s="111"/>
      <x:c r="E20" s="111"/>
      <x:c r="F20" s="111"/>
      <x:c r="G20" s="111"/>
      <x:c r="H20" s="111"/>
      <x:c r="I20" s="111"/>
      <x:c r="J20" s="111"/>
    </x:row>
    <x:row r="21" ht="21" hidden="0" customHeight="1">
      <x:c r="A21" s="90"/>
      <x:c r="B21" s="111"/>
      <x:c r="C21" s="111"/>
      <x:c r="D21" s="111"/>
      <x:c r="E21" s="111"/>
      <x:c r="F21" s="111"/>
      <x:c r="G21" s="111"/>
      <x:c r="H21" s="111"/>
      <x:c r="I21" s="111"/>
      <x:c r="J21" s="111"/>
    </x:row>
    <x:row r="22" ht="21" hidden="0" customHeight="1">
      <x:c r="A22" s="90"/>
      <x:c r="B22" s="111"/>
      <x:c r="C22" s="111"/>
      <x:c r="D22" s="111"/>
      <x:c r="E22" s="111"/>
      <x:c r="F22" s="111"/>
      <x:c r="G22" s="111"/>
      <x:c r="H22" s="111"/>
      <x:c r="I22" s="111"/>
      <x:c r="J22" s="111"/>
    </x:row>
    <x:row r="23" ht="21" hidden="0" customHeight="1">
      <x:c r="A23" s="90"/>
      <x:c r="B23" s="90"/>
      <x:c r="C23" s="90"/>
      <x:c r="D23" s="90"/>
      <x:c r="E23" s="90"/>
      <x:c r="F23" s="90"/>
      <x:c r="G23" s="90"/>
      <x:c r="H23" s="90"/>
      <x:c r="I23" s="90"/>
      <x:c r="J23" s="90"/>
    </x:row>
    <x:row r="24" ht="21" hidden="0" customHeight="1">
      <x:c r="A24" s="90"/>
      <x:c r="B24" s="95" t="n">
        <x:v>44087</x:v>
      </x:c>
      <x:c r="C24" s="90" t="str">
        <x:v>Arm</x:v>
      </x:c>
      <x:c r="D24" s="90" t="str">
        <x:v>NVIDIA</x:v>
      </x:c>
      <x:c r="E24" s="102" t="n">
        <x:v>40000</x:v>
      </x:c>
      <x:c r="F24" s="96" t="str">
        <x:v>Announced consideration; terminated in 2022</x:v>
      </x:c>
      <x:c r="G24" s="96"/>
      <x:c r="H24" s="96"/>
      <x:c r="I24" s="96"/>
      <x:c r="J24" s="96"/>
    </x:row>
    <x:row r="25" ht="21" hidden="0" customHeight="1">
      <x:c r="A25" s="90"/>
      <x:c r="B25" s="90"/>
      <x:c r="C25" s="90"/>
      <x:c r="D25" s="90"/>
      <x:c r="E25" s="90"/>
      <x:c r="F25" s="96"/>
      <x:c r="G25" s="96"/>
      <x:c r="H25" s="96"/>
      <x:c r="I25" s="96"/>
      <x:c r="J25" s="96"/>
    </x:row>
    <x:row r="26" ht="21" hidden="0" customHeight="1">
      <x:c r="A26" s="90"/>
      <x:c r="B26" s="111" t="str">
        <x:v>https://nvidianews.nvidia.com/news/nvidia-to-acquire-arm-for-40-billion-creating-worlds-premier-computing-company-for-the-age-of-ai</x:v>
      </x:c>
      <x:c r="C26" s="111"/>
      <x:c r="D26" s="111"/>
      <x:c r="E26" s="111"/>
      <x:c r="F26" s="111"/>
      <x:c r="G26" s="111"/>
      <x:c r="H26" s="111"/>
      <x:c r="I26" s="111"/>
      <x:c r="J26" s="111"/>
    </x:row>
    <x:row r="27" ht="21" hidden="0" customHeight="1">
      <x:c r="A27" s="90"/>
      <x:c r="B27" s="111"/>
      <x:c r="C27" s="111"/>
      <x:c r="D27" s="111"/>
      <x:c r="E27" s="111"/>
      <x:c r="F27" s="111"/>
      <x:c r="G27" s="111"/>
      <x:c r="H27" s="111"/>
      <x:c r="I27" s="111"/>
      <x:c r="J27" s="111"/>
    </x:row>
    <x:row r="28" ht="21" hidden="0" customHeight="1">
      <x:c r="A28" s="90"/>
      <x:c r="B28" s="111"/>
      <x:c r="C28" s="111"/>
      <x:c r="D28" s="111"/>
      <x:c r="E28" s="111"/>
      <x:c r="F28" s="111"/>
      <x:c r="G28" s="111"/>
      <x:c r="H28" s="111"/>
      <x:c r="I28" s="111"/>
      <x:c r="J28" s="111"/>
    </x:row>
    <x:row r="29" ht="21" hidden="0" customHeight="1">
      <x:c r="A29" s="90"/>
      <x:c r="B29" s="90"/>
      <x:c r="C29" s="90"/>
      <x:c r="D29" s="90"/>
      <x:c r="E29" s="90"/>
      <x:c r="F29" s="90"/>
      <x:c r="G29" s="90"/>
      <x:c r="H29" s="90"/>
      <x:c r="I29" s="90"/>
      <x:c r="J29" s="90"/>
    </x:row>
    <x:row r="30" ht="21" hidden="0" customHeight="1">
      <x:c r="A30" s="90"/>
      <x:c r="B30" s="95" t="n">
        <x:v>45736</x:v>
      </x:c>
      <x:c r="C30" s="90" t="str">
        <x:v>Ampere</x:v>
      </x:c>
      <x:c r="D30" s="90" t="str">
        <x:v>SoftBank</x:v>
      </x:c>
      <x:c r="E30" s="102" t="n">
        <x:v>6500</x:v>
      </x:c>
      <x:c r="F30" s="96" t="str">
        <x:v>Announced acquisition price</x:v>
      </x:c>
      <x:c r="G30" s="96"/>
      <x:c r="H30" s="96"/>
      <x:c r="I30" s="96"/>
      <x:c r="J30" s="96"/>
    </x:row>
    <x:row r="31" ht="21" hidden="0" customHeight="1">
      <x:c r="A31" s="90"/>
      <x:c r="B31" s="90"/>
      <x:c r="C31" s="90"/>
      <x:c r="D31" s="90"/>
      <x:c r="E31" s="90"/>
      <x:c r="F31" s="96"/>
      <x:c r="G31" s="96"/>
      <x:c r="H31" s="96"/>
      <x:c r="I31" s="96"/>
      <x:c r="J31" s="96"/>
    </x:row>
    <x:row r="32" ht="21" hidden="0" customHeight="1">
      <x:c r="A32" s="90"/>
      <x:c r="B32" s="111" t="str">
        <x:v>https://group.softbank/en/news/press/20250320_0</x:v>
      </x:c>
      <x:c r="C32" s="111"/>
      <x:c r="D32" s="111"/>
      <x:c r="E32" s="111"/>
      <x:c r="F32" s="111"/>
      <x:c r="G32" s="111"/>
      <x:c r="H32" s="111"/>
      <x:c r="I32" s="111"/>
      <x:c r="J32" s="111"/>
    </x:row>
    <x:row r="33" ht="21" hidden="0" customHeight="1">
      <x:c r="A33" s="90"/>
      <x:c r="B33" s="111"/>
      <x:c r="C33" s="111"/>
      <x:c r="D33" s="111"/>
      <x:c r="E33" s="111"/>
      <x:c r="F33" s="111"/>
      <x:c r="G33" s="111"/>
      <x:c r="H33" s="111"/>
      <x:c r="I33" s="111"/>
      <x:c r="J33" s="111"/>
    </x:row>
    <x:row r="34" ht="21" hidden="0" customHeight="1">
      <x:c r="A34" s="90"/>
      <x:c r="B34" s="111"/>
      <x:c r="C34" s="111"/>
      <x:c r="D34" s="111"/>
      <x:c r="E34" s="111"/>
      <x:c r="F34" s="111"/>
      <x:c r="G34" s="111"/>
      <x:c r="H34" s="111"/>
      <x:c r="I34" s="111"/>
      <x:c r="J34" s="111"/>
    </x:row>
    <x:row r="35" ht="21" hidden="0" customHeight="1">
      <x:c r="A35" s="90"/>
      <x:c r="B35" s="90"/>
      <x:c r="C35" s="90"/>
      <x:c r="D35" s="90"/>
      <x:c r="E35" s="90"/>
      <x:c r="F35" s="90"/>
      <x:c r="G35" s="90"/>
      <x:c r="H35" s="90"/>
      <x:c r="I35" s="90"/>
      <x:c r="J35" s="90"/>
    </x:row>
    <x:row r="36" ht="21" hidden="0" customHeight="1">
      <x:c r="A36" s="90"/>
      <x:c r="B36" s="90"/>
      <x:c r="C36" s="90"/>
      <x:c r="D36" s="90"/>
      <x:c r="E36" s="90"/>
      <x:c r="F36" s="90"/>
      <x:c r="G36" s="90"/>
      <x:c r="H36" s="90"/>
      <x:c r="I36" s="90"/>
      <x:c r="J36" s="90"/>
    </x:row>
    <x:row r="37" ht="21" hidden="0" customHeight="1">
      <x:c r="A37" s="90"/>
      <x:c r="B37" s="90"/>
      <x:c r="C37" s="90"/>
      <x:c r="D37" s="90"/>
      <x:c r="E37" s="90"/>
      <x:c r="F37" s="90"/>
      <x:c r="G37" s="90"/>
      <x:c r="H37" s="90"/>
      <x:c r="I37" s="90"/>
      <x:c r="J37" s="90"/>
    </x:row>
    <x:row r="38" ht="21" hidden="0" customHeight="1">
      <x:c r="A38" s="90"/>
      <x:c r="B38" s="111" t="str">
        <x:v>Scale, product mix and profitability differ materially. Announcement equity values and enterprise values are not interchangeable. No transaction multiple feeds the Valuation Summary.</x:v>
      </x:c>
      <x:c r="C38" s="111"/>
      <x:c r="D38" s="111"/>
      <x:c r="E38" s="111"/>
      <x:c r="F38" s="111"/>
      <x:c r="G38" s="111"/>
      <x:c r="H38" s="111"/>
      <x:c r="I38" s="111"/>
      <x:c r="J38" s="111"/>
    </x:row>
    <x:row r="39" ht="21" hidden="0" customHeight="1">
      <x:c r="A39" s="90"/>
      <x:c r="B39" s="111"/>
      <x:c r="C39" s="111"/>
      <x:c r="D39" s="111"/>
      <x:c r="E39" s="111"/>
      <x:c r="F39" s="111"/>
      <x:c r="G39" s="111"/>
      <x:c r="H39" s="111"/>
      <x:c r="I39" s="111"/>
      <x:c r="J39" s="111"/>
    </x:row>
    <x:row r="40" ht="21" hidden="0" customHeight="1">
      <x:c r="A40" s="90"/>
      <x:c r="B40" s="111"/>
      <x:c r="C40" s="111"/>
      <x:c r="D40" s="111"/>
      <x:c r="E40" s="111"/>
      <x:c r="F40" s="111"/>
      <x:c r="G40" s="111"/>
      <x:c r="H40" s="111"/>
      <x:c r="I40" s="111"/>
      <x:c r="J40" s="111"/>
    </x:row>
    <x:row r="41" ht="21" hidden="0" customHeight="1">
      <x:c r="A41" s="90"/>
      <x:c r="B41" s="90"/>
      <x:c r="C41" s="90"/>
      <x:c r="D41" s="90"/>
      <x:c r="E41" s="90"/>
      <x:c r="F41" s="90"/>
      <x:c r="G41" s="90"/>
      <x:c r="H41" s="90"/>
      <x:c r="I41" s="90"/>
      <x:c r="J41" s="90"/>
    </x:row>
    <x:row r="42" ht="21" hidden="0" customHeight="1">
      <x:c r="A42" s="90"/>
      <x:c r="B42" s="90"/>
      <x:c r="C42" s="90"/>
      <x:c r="D42" s="90"/>
      <x:c r="E42" s="90"/>
      <x:c r="F42" s="90"/>
      <x:c r="G42" s="90"/>
      <x:c r="H42" s="90"/>
      <x:c r="I42" s="90"/>
      <x:c r="J42" s="90"/>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90"/>
      <x:c r="C45" s="90"/>
      <x:c r="D45" s="90"/>
      <x:c r="E45" s="90"/>
      <x:c r="F45" s="90"/>
      <x:c r="G45" s="90"/>
      <x:c r="H45" s="90"/>
      <x:c r="I45" s="90"/>
      <x:c r="J45" s="90"/>
    </x:row>
    <x:row r="46" ht="21" hidden="0" customHeight="1">
      <x:c r="A46" s="90"/>
      <x:c r="B46" s="90"/>
      <x:c r="C46" s="90"/>
      <x:c r="D46" s="90"/>
      <x:c r="E46" s="90"/>
      <x:c r="F46" s="90"/>
      <x:c r="G46" s="90"/>
      <x:c r="H46" s="90"/>
      <x:c r="I46" s="90"/>
      <x:c r="J46" s="90"/>
    </x:row>
    <x:row r="47" ht="21" hidden="0" customHeight="1">
      <x:c r="A47" s="90"/>
      <x:c r="B47" s="90"/>
      <x:c r="C47" s="90"/>
      <x:c r="D47" s="90"/>
      <x:c r="E47" s="90"/>
      <x:c r="F47" s="90"/>
      <x:c r="G47" s="90"/>
      <x:c r="H47" s="90"/>
      <x:c r="I47" s="90"/>
      <x:c r="J47" s="90"/>
    </x:row>
    <x:row r="48" ht="15" hidden="0">
      <x:c r="A48" s="2"/>
      <x:c r="B48" s="2"/>
      <x:c r="C48" s="2"/>
      <x:c r="D48" s="2"/>
      <x:c r="E48" s="2"/>
      <x:c r="F48" s="2"/>
      <x:c r="G48" s="2"/>
      <x:c r="H48" s="2"/>
      <x:c r="I48" s="2"/>
      <x:c r="J48" s="2"/>
    </x:row>
    <x:row r="49" ht="15" hidden="0">
      <x:c r="A49" s="2"/>
      <x:c r="B49" s="2"/>
      <x:c r="C49" s="2"/>
      <x:c r="D49" s="2"/>
      <x:c r="E49" s="2"/>
      <x:c r="F49" s="2"/>
      <x:c r="G49" s="2"/>
      <x:c r="H49" s="2"/>
      <x:c r="I49" s="2"/>
      <x:c r="J49" s="2"/>
    </x:row>
    <x:row r="50" ht="15" hidden="0">
      <x:c r="A50" s="2"/>
      <x:c r="B50" s="2"/>
      <x:c r="C50" s="2"/>
      <x:c r="D50" s="2"/>
      <x:c r="E50" s="2"/>
      <x:c r="F50" s="2"/>
      <x:c r="G50" s="2"/>
      <x:c r="H50" s="2"/>
      <x:c r="I50" s="2"/>
      <x:c r="J50" s="2"/>
    </x:row>
  </x:sheetData>
  <x:mergeCells>
    <x:mergeCell ref="A1:J1"/>
    <x:mergeCell ref="A2:J3"/>
    <x:mergeCell ref="F6:J7"/>
    <x:mergeCell ref="B8:J10"/>
    <x:mergeCell ref="F12:J13"/>
    <x:mergeCell ref="B14:J16"/>
    <x:mergeCell ref="F18:J19"/>
    <x:mergeCell ref="B20:J22"/>
    <x:mergeCell ref="F24:J25"/>
    <x:mergeCell ref="B26:J28"/>
    <x:mergeCell ref="F30:J31"/>
    <x:mergeCell ref="B32:J34"/>
    <x:mergeCell ref="B38:J40"/>
  </x:mergeCells>
  <x:pageMargins left="0.7" right="0.7" top="0.75" bottom="0.75" header="0.3" footer="0.3"/>
</x:worksheet>
</file>

<file path=xl/worksheets/sheet10.xml><?xml version="1.0" encoding="utf-8"?>
<x:worksheet xmlns:x="http://schemas.openxmlformats.org/spreadsheetml/2006/main">
  <x:sheetPr>
    <x:tabColor rgb="FFFF0000"/>
  </x:sheetPr>
  <x:sheetViews>
    <x:sheetView showGridLines="0" workbookViewId="0"/>
  </x:sheetViews>
  <x:sheetFormatPr defaultColWidth="8.6796875" defaultRowHeight="15"/>
  <x:cols>
    <x:col min="1" max="1" width="2" hidden="0" customWidth="1"/>
    <x:col min="2" max="2" width="48"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BUSINESS MIX AND PROFIT</x:v>
      </x:c>
      <x:c r="B1" s="142"/>
      <x:c r="C1" s="142"/>
      <x:c r="D1" s="142"/>
      <x:c r="E1" s="142"/>
      <x:c r="F1" s="142"/>
      <x:c r="G1" s="142"/>
      <x:c r="H1" s="142"/>
      <x:c r="I1" s="92"/>
      <x:c r="J1" s="92"/>
    </x:row>
    <x:row r="2" ht="21" hidden="0" customHeight="1">
      <x:c r="A2" s="144" t="str">
        <x:v>H1 FY2027 reported segments reconcile to consolidated operating income. US$ millions.</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90"/>
      <x:c r="B4" s="253"/>
      <x:c r="C4" s="253"/>
      <x:c r="D4" s="253"/>
      <x:c r="E4" s="253"/>
      <x:c r="F4" s="253"/>
      <x:c r="G4" s="253"/>
      <x:c r="H4" s="253"/>
      <x:c r="I4" s="90"/>
      <x:c r="J4" s="90"/>
    </x:row>
    <x:row r="5" ht="21" hidden="0" customHeight="1">
      <x:c r="A5" s="90"/>
      <x:c r="B5" s="253" t="str">
        <x:v>Reported segment</x:v>
      </x:c>
      <x:c r="C5" s="253" t="str">
        <x:v>Revenue</x:v>
      </x:c>
      <x:c r="D5" s="253" t="str">
        <x:v>Operating income</x:v>
      </x:c>
      <x:c r="E5" s="253"/>
      <x:c r="F5" s="253"/>
      <x:c r="G5" s="253"/>
      <x:c r="H5" s="253"/>
      <x:c r="I5" s="111"/>
      <x:c r="J5" s="111"/>
    </x:row>
    <x:row r="6" ht="21" hidden="0" customHeight="1">
      <x:c r="A6" s="90"/>
      <x:c r="B6" s="253" t="str">
        <x:v>Compute &amp; Networking</x:v>
      </x:c>
      <x:c r="C6" s="279" t="n">
        <x:v>162850</x:v>
      </x:c>
      <x:c r="D6" s="279" t="n">
        <x:v>116031</x:v>
      </x:c>
      <x:c r="E6" s="253"/>
      <x:c r="F6" s="253"/>
      <x:c r="G6" s="253"/>
      <x:c r="H6" s="253"/>
      <x:c r="I6" s="111"/>
      <x:c r="J6" s="111"/>
    </x:row>
    <x:row r="7" ht="21" hidden="0" customHeight="1">
      <x:c r="A7" s="90"/>
      <x:c r="B7" s="253" t="str">
        <x:v>Graphics</x:v>
      </x:c>
      <x:c r="C7" s="279" t="n">
        <x:v>14987</x:v>
      </x:c>
      <x:c r="D7" s="279" t="n">
        <x:v>6840</x:v>
      </x:c>
      <x:c r="E7" s="253"/>
      <x:c r="F7" s="253"/>
      <x:c r="G7" s="253"/>
      <x:c r="H7" s="253"/>
      <x:c r="I7" s="111"/>
      <x:c r="J7" s="111"/>
    </x:row>
    <x:row r="8" ht="21" hidden="0" customHeight="1">
      <x:c r="A8" s="90"/>
      <x:c r="B8" s="253"/>
      <x:c r="C8" s="253"/>
      <x:c r="D8" s="253"/>
      <x:c r="E8" s="253"/>
      <x:c r="F8" s="253"/>
      <x:c r="G8" s="253"/>
      <x:c r="H8" s="253"/>
      <x:c r="I8" s="90"/>
      <x:c r="J8" s="90"/>
    </x:row>
    <x:row r="9" ht="21" hidden="0" customHeight="1">
      <x:c r="A9" s="90"/>
      <x:c r="B9" s="90" t="str">
        <x:v>Corporate expense</x:v>
      </x:c>
      <x:c r="C9" s="102" t="n">
        <x:v>0</x:v>
      </x:c>
      <x:c r="D9" s="102" t="n">
        <x:v>-1178</x:v>
      </x:c>
      <x:c r="E9" s="90"/>
      <x:c r="F9" s="90"/>
      <x:c r="G9" s="90"/>
      <x:c r="H9" s="90"/>
      <x:c r="I9" s="90"/>
      <x:c r="J9" s="90"/>
    </x:row>
    <x:row r="10" ht="21" hidden="0" customHeight="1">
      <x:c r="A10" s="90"/>
      <x:c r="B10" s="111" t="str">
        <x:v>Stock compensation</x:v>
      </x:c>
      <x:c r="C10" s="280" t="n">
        <x:v>0</x:v>
      </x:c>
      <x:c r="D10" s="280" t="n">
        <x:v>-3954</x:v>
      </x:c>
      <x:c r="E10" s="111"/>
      <x:c r="F10" s="111"/>
      <x:c r="G10" s="111"/>
      <x:c r="H10" s="111"/>
      <x:c r="I10" s="111"/>
      <x:c r="J10" s="111"/>
    </x:row>
    <x:row r="11" ht="21" hidden="0" customHeight="1">
      <x:c r="A11" s="90"/>
      <x:c r="B11" s="111" t="str">
        <x:v>Acquisition-related costs</x:v>
      </x:c>
      <x:c r="C11" s="280" t="n">
        <x:v>0</x:v>
      </x:c>
      <x:c r="D11" s="280" t="n">
        <x:v>-469</x:v>
      </x:c>
      <x:c r="E11" s="111"/>
      <x:c r="F11" s="111"/>
      <x:c r="G11" s="111"/>
      <x:c r="H11" s="111"/>
      <x:c r="I11" s="111"/>
      <x:c r="J11" s="111"/>
    </x:row>
    <x:row r="12" ht="21" hidden="0" customHeight="1">
      <x:c r="A12" s="90"/>
      <x:c r="B12" s="111"/>
      <x:c r="C12" s="111"/>
      <x:c r="D12" s="111"/>
      <x:c r="E12" s="111"/>
      <x:c r="F12" s="111"/>
      <x:c r="G12" s="111"/>
      <x:c r="H12" s="111"/>
      <x:c r="I12" s="111"/>
      <x:c r="J12" s="111"/>
    </x:row>
    <x:row r="13" ht="21" hidden="0" customHeight="1">
      <x:c r="A13" s="90"/>
      <x:c r="B13" s="90" t="str">
        <x:v>Consolidated</x:v>
      </x:c>
      <x:c r="C13" s="102" t="n">
        <x:f>SUM(C6:C11)</x:f>
        <x:v>177837</x:v>
      </x:c>
      <x:c r="D13" s="102" t="n">
        <x:f>SUM(D6:D11)</x:f>
        <x:v>117270</x:v>
      </x:c>
      <x:c r="E13" s="90"/>
      <x:c r="F13" s="90"/>
      <x:c r="G13" s="90"/>
      <x:c r="H13" s="90"/>
      <x:c r="I13" s="90"/>
      <x:c r="J13" s="90"/>
    </x:row>
    <x:row r="14" ht="21" hidden="0" customHeight="1">
      <x:c r="A14" s="90"/>
      <x:c r="B14" s="90"/>
      <x:c r="C14" s="90"/>
      <x:c r="D14" s="90"/>
      <x:c r="E14" s="90"/>
      <x:c r="F14" s="90"/>
      <x:c r="G14" s="90"/>
      <x:c r="H14" s="90"/>
      <x:c r="I14" s="90"/>
      <x:c r="J14" s="90"/>
    </x:row>
    <x:row r="15" ht="21" hidden="0" customHeight="1">
      <x:c r="A15" s="90"/>
      <x:c r="B15" s="111"/>
      <x:c r="C15" s="111"/>
      <x:c r="D15" s="111"/>
      <x:c r="E15" s="111"/>
      <x:c r="F15" s="111"/>
      <x:c r="G15" s="111"/>
      <x:c r="H15" s="111"/>
      <x:c r="I15" s="111"/>
      <x:c r="J15" s="111"/>
    </x:row>
    <x:row r="16" ht="21" hidden="0" customHeight="1">
      <x:c r="A16" s="90"/>
      <x:c r="B16" s="111"/>
      <x:c r="C16" s="111"/>
      <x:c r="D16" s="111"/>
      <x:c r="E16" s="111"/>
      <x:c r="F16" s="111"/>
      <x:c r="G16" s="111"/>
      <x:c r="H16" s="111"/>
      <x:c r="I16" s="111"/>
      <x:c r="J16" s="111"/>
    </x:row>
    <x:row r="17" ht="21" hidden="0" customHeight="1">
      <x:c r="A17" s="90"/>
      <x:c r="B17" s="111" t="str">
        <x:v>Data Center is a market platform, distinct from the reported Compute &amp; Networking segment. H1 Data Center revenue was $164,269m and Edge Computing revenue was $13,568m. Shared technology and customer economics support consolidated valuation.</x:v>
      </x:c>
      <x:c r="C17" s="111"/>
      <x:c r="D17" s="111"/>
      <x:c r="E17" s="111"/>
      <x:c r="F17" s="111"/>
      <x:c r="G17" s="111"/>
      <x:c r="H17" s="111"/>
      <x:c r="I17" s="111"/>
      <x:c r="J17" s="111"/>
    </x:row>
    <x:row r="18" ht="21" hidden="0" customHeight="1">
      <x:c r="A18" s="90"/>
      <x:c r="B18" s="111"/>
      <x:c r="C18" s="111"/>
      <x:c r="D18" s="111"/>
      <x:c r="E18" s="111"/>
      <x:c r="F18" s="111"/>
      <x:c r="G18" s="111"/>
      <x:c r="H18" s="111"/>
      <x:c r="I18" s="111"/>
      <x:c r="J18" s="111"/>
    </x:row>
    <x:row r="19" ht="21" hidden="0" customHeight="1">
      <x:c r="A19" s="90"/>
      <x:c r="B19" s="111"/>
      <x:c r="C19" s="111"/>
      <x:c r="D19" s="111"/>
      <x:c r="E19" s="111"/>
      <x:c r="F19" s="111"/>
      <x:c r="G19" s="111"/>
      <x:c r="H19" s="111"/>
      <x:c r="I19" s="111"/>
      <x:c r="J19" s="111"/>
    </x:row>
    <x:row r="20" ht="21" hidden="0" customHeight="1">
      <x:c r="A20" s="90"/>
      <x:c r="B20" s="90"/>
      <x:c r="C20" s="90"/>
      <x:c r="D20" s="90"/>
      <x:c r="E20" s="90"/>
      <x:c r="F20" s="90"/>
      <x:c r="G20" s="90"/>
      <x:c r="H20" s="90"/>
      <x:c r="I20" s="90"/>
      <x:c r="J20" s="90"/>
    </x:row>
    <x:row r="21" ht="21" hidden="0" customHeight="1">
      <x:c r="A21" s="90"/>
      <x:c r="B21" s="90"/>
      <x:c r="C21" s="90"/>
      <x:c r="D21" s="90"/>
      <x:c r="E21" s="90"/>
      <x:c r="F21" s="90"/>
      <x:c r="G21" s="90"/>
      <x:c r="H21" s="90"/>
      <x:c r="I21" s="90"/>
      <x:c r="J21" s="90"/>
    </x:row>
    <x:row r="22" ht="21" hidden="0" customHeight="1">
      <x:c r="A22" s="90"/>
      <x:c r="B22" s="111" t="str">
        <x:v>A separate valuation of networking, software and the developer ecosystem could count overlapping earnings twice. This model uses segment results to understand the business; it does not add a second SOTP premium. Existing equity investments are already in Source Inputs.</x:v>
      </x:c>
      <x:c r="C22" s="111"/>
      <x:c r="D22" s="111"/>
      <x:c r="E22" s="111"/>
      <x:c r="F22" s="111"/>
      <x:c r="G22" s="111"/>
      <x:c r="H22" s="111"/>
      <x:c r="I22" s="111"/>
      <x:c r="J22" s="111"/>
    </x:row>
    <x:row r="23" ht="21" hidden="0" customHeight="1">
      <x:c r="A23" s="90"/>
      <x:c r="B23" s="111"/>
      <x:c r="C23" s="111"/>
      <x:c r="D23" s="111"/>
      <x:c r="E23" s="111"/>
      <x:c r="F23" s="111"/>
      <x:c r="G23" s="111"/>
      <x:c r="H23" s="111"/>
      <x:c r="I23" s="111"/>
      <x:c r="J23" s="111"/>
    </x:row>
    <x:row r="24" ht="21" hidden="0" customHeight="1">
      <x:c r="A24" s="90"/>
      <x:c r="B24" s="111"/>
      <x:c r="C24" s="111"/>
      <x:c r="D24" s="111"/>
      <x:c r="E24" s="111"/>
      <x:c r="F24" s="111"/>
      <x:c r="G24" s="111"/>
      <x:c r="H24" s="111"/>
      <x:c r="I24" s="111"/>
      <x:c r="J24" s="111"/>
    </x:row>
    <x:row r="25" ht="21" hidden="0" customHeight="1">
      <x:c r="A25" s="90"/>
      <x:c r="B25" s="90"/>
      <x:c r="C25" s="90"/>
      <x:c r="D25" s="90"/>
      <x:c r="E25" s="90"/>
      <x:c r="F25" s="90"/>
      <x:c r="G25" s="90"/>
      <x:c r="H25" s="90"/>
      <x:c r="I25" s="90"/>
      <x:c r="J25" s="90"/>
    </x:row>
    <x:row r="26" ht="21" hidden="0" customHeight="1">
      <x:c r="A26" s="90"/>
      <x:c r="B26" s="90"/>
      <x:c r="C26" s="90"/>
      <x:c r="D26" s="90"/>
      <x:c r="E26" s="90"/>
      <x:c r="F26" s="90"/>
      <x:c r="G26" s="90"/>
      <x:c r="H26" s="90"/>
      <x:c r="I26" s="90"/>
      <x:c r="J26" s="90"/>
    </x:row>
    <x:row r="27" ht="21" hidden="0" customHeight="1">
      <x:c r="A27" s="90"/>
      <x:c r="B27" s="111" t="str">
        <x:v>https://s201.q4cdn.com/141608511/files/doc_financials/2027/NVDA-2027-Q2-10Q-Final-including-exhibits.pdf</x:v>
      </x:c>
      <x:c r="C27" s="111"/>
      <x:c r="D27" s="111"/>
      <x:c r="E27" s="111"/>
      <x:c r="F27" s="111"/>
      <x:c r="G27" s="111"/>
      <x:c r="H27" s="111"/>
      <x:c r="I27" s="111"/>
      <x:c r="J27" s="111"/>
    </x:row>
    <x:row r="28" ht="21" hidden="0" customHeight="1">
      <x:c r="A28" s="90"/>
      <x:c r="B28" s="111"/>
      <x:c r="C28" s="111"/>
      <x:c r="D28" s="111"/>
      <x:c r="E28" s="111"/>
      <x:c r="F28" s="111"/>
      <x:c r="G28" s="111"/>
      <x:c r="H28" s="111"/>
      <x:c r="I28" s="111"/>
      <x:c r="J28" s="111"/>
    </x:row>
    <x:row r="29" ht="21" hidden="0" customHeight="1">
      <x:c r="A29" s="90"/>
      <x:c r="B29" s="111"/>
      <x:c r="C29" s="111"/>
      <x:c r="D29" s="111"/>
      <x:c r="E29" s="111"/>
      <x:c r="F29" s="111"/>
      <x:c r="G29" s="111"/>
      <x:c r="H29" s="111"/>
      <x:c r="I29" s="111"/>
      <x:c r="J29" s="111"/>
    </x:row>
    <x:row r="30" ht="21" hidden="0" customHeight="1">
      <x:c r="A30" s="90"/>
      <x:c r="B30" s="111"/>
      <x:c r="C30" s="111"/>
      <x:c r="D30" s="111"/>
      <x:c r="E30" s="111"/>
      <x:c r="F30" s="111"/>
      <x:c r="G30" s="111"/>
      <x:c r="H30" s="111"/>
      <x:c r="I30" s="111"/>
      <x:c r="J30" s="111"/>
    </x:row>
    <x:row r="31" ht="21" hidden="0" customHeight="1">
      <x:c r="A31" s="90"/>
      <x:c r="B31" s="90"/>
      <x:c r="C31" s="90"/>
      <x:c r="D31" s="90"/>
      <x:c r="E31" s="90"/>
      <x:c r="F31" s="90"/>
      <x:c r="G31" s="90"/>
      <x:c r="H31" s="90"/>
      <x:c r="I31" s="90"/>
      <x:c r="J31" s="90"/>
    </x:row>
    <x:row r="32" ht="21" hidden="0" customHeight="1">
      <x:c r="A32" s="90"/>
      <x:c r="B32" s="90"/>
      <x:c r="C32" s="90"/>
      <x:c r="D32" s="90"/>
      <x:c r="E32" s="90"/>
      <x:c r="F32" s="90"/>
      <x:c r="G32" s="90"/>
      <x:c r="H32" s="90"/>
      <x:c r="I32" s="90"/>
      <x:c r="J32" s="90"/>
    </x:row>
    <x:row r="33" ht="21" hidden="0" customHeight="1">
      <x:c r="A33" s="90"/>
      <x:c r="B33" s="90"/>
      <x:c r="C33" s="90"/>
      <x:c r="D33" s="90"/>
      <x:c r="E33" s="90"/>
      <x:c r="F33" s="90"/>
      <x:c r="G33" s="90"/>
      <x:c r="H33" s="90"/>
      <x:c r="I33" s="90"/>
      <x:c r="J33" s="90"/>
    </x:row>
    <x:row r="34" ht="21" hidden="0" customHeight="1">
      <x:c r="A34" s="90"/>
      <x:c r="B34" s="90"/>
      <x:c r="C34" s="90"/>
      <x:c r="D34" s="90"/>
      <x:c r="E34" s="90"/>
      <x:c r="F34" s="90"/>
      <x:c r="G34" s="90"/>
      <x:c r="H34" s="90"/>
      <x:c r="I34" s="90"/>
      <x:c r="J34" s="90"/>
    </x:row>
    <x:row r="35" ht="21" hidden="0" customHeight="1">
      <x:c r="A35" s="90"/>
      <x:c r="B35" s="90"/>
      <x:c r="C35" s="90"/>
      <x:c r="D35" s="90"/>
      <x:c r="E35" s="90"/>
      <x:c r="F35" s="90"/>
      <x:c r="G35" s="90"/>
      <x:c r="H35" s="90"/>
      <x:c r="I35" s="90"/>
      <x:c r="J35" s="90"/>
    </x:row>
    <x:row r="36" ht="21" hidden="0" customHeight="1">
      <x:c r="A36" s="90"/>
      <x:c r="B36" s="90"/>
      <x:c r="C36" s="90"/>
      <x:c r="D36" s="90"/>
      <x:c r="E36" s="90"/>
      <x:c r="F36" s="90"/>
      <x:c r="G36" s="90"/>
      <x:c r="H36" s="90"/>
      <x:c r="I36" s="90"/>
      <x:c r="J36" s="90"/>
    </x:row>
    <x:row r="37" ht="15" hidden="0">
      <x:c r="A37" s="2"/>
      <x:c r="B37" s="2"/>
      <x:c r="C37" s="2"/>
      <x:c r="D37" s="2"/>
      <x:c r="E37" s="2"/>
      <x:c r="F37" s="2"/>
      <x:c r="G37" s="2"/>
      <x:c r="H37" s="2"/>
      <x:c r="I37" s="2"/>
      <x:c r="J37" s="2"/>
    </x:row>
    <x:row r="38" ht="15" hidden="0">
      <x:c r="A38" s="2"/>
      <x:c r="B38" s="2"/>
      <x:c r="C38" s="2"/>
      <x:c r="D38" s="2"/>
      <x:c r="E38" s="2"/>
      <x:c r="F38" s="2"/>
      <x:c r="G38" s="2"/>
      <x:c r="H38" s="2"/>
      <x:c r="I38" s="2"/>
      <x:c r="J38" s="2"/>
    </x:row>
    <x:row r="39" ht="15" hidden="0">
      <x:c r="A39" s="2"/>
      <x:c r="B39" s="2"/>
      <x:c r="C39" s="2"/>
      <x:c r="D39" s="2"/>
      <x:c r="E39" s="2"/>
      <x:c r="F39" s="2"/>
      <x:c r="G39" s="2"/>
      <x:c r="H39" s="2"/>
      <x:c r="I39" s="2"/>
      <x:c r="J39" s="2"/>
    </x:row>
    <x:row r="40" ht="15" hidden="0">
      <x:c r="A40" s="2"/>
      <x:c r="B40" s="2"/>
      <x:c r="C40" s="2"/>
      <x:c r="D40" s="2"/>
      <x:c r="E40" s="2"/>
      <x:c r="F40" s="2"/>
      <x:c r="G40" s="2"/>
      <x:c r="H40" s="2"/>
      <x:c r="I40" s="2"/>
      <x:c r="J40" s="2"/>
    </x:row>
  </x:sheetData>
  <x:mergeCells>
    <x:mergeCell ref="A1:J1"/>
    <x:mergeCell ref="A2:J3"/>
    <x:mergeCell ref="B17:J19"/>
    <x:mergeCell ref="B22:J24"/>
    <x:mergeCell ref="B27:J30"/>
  </x:mergeCells>
  <x:pageMargins left="0.7" right="0.7" top="0.75" bottom="0.75" header="0.3" footer="0.3"/>
</x:worksheet>
</file>

<file path=xl/worksheets/sheet11.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BUYER RETURN MECHANICS</x:v>
      </x:c>
      <x:c r="B1" s="142"/>
      <x:c r="C1" s="142"/>
      <x:c r="D1" s="142"/>
      <x:c r="E1" s="142"/>
      <x:c r="F1" s="142"/>
      <x:c r="G1" s="142"/>
      <x:c r="H1" s="142"/>
      <x:c r="I1" s="142"/>
      <x:c r="J1" s="142"/>
    </x:row>
    <x:row r="2" ht="21" hidden="0" customHeight="1">
      <x:c r="A2" s="144" t="str">
        <x:v>Illustrative teaching case: financing capacity is an assumption. This schedule is not a proposed acquisition.</x:v>
      </x:c>
      <x:c r="B2" s="144"/>
      <x:c r="C2" s="144"/>
      <x:c r="D2" s="144"/>
      <x:c r="E2" s="144"/>
      <x:c r="F2" s="144"/>
      <x:c r="G2" s="144"/>
      <x:c r="H2" s="144"/>
      <x:c r="I2" s="144"/>
      <x:c r="J2" s="14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115"/>
      <x:c r="J4" s="115"/>
    </x:row>
    <x:row r="5" ht="21" hidden="0" customHeight="1">
      <x:c r="A5" s="90"/>
      <x:c r="B5" s="90" t="str">
        <x:v>Offer price</x:v>
      </x:c>
      <x:c r="C5" s="240" t="n">
        <x:f>'Source Inputs'!$C$7*(1+'Assumptions'!$C$38)</x:f>
        <x:v>287.95000000000005</x:v>
      </x:c>
      <x:c r="D5" s="90"/>
      <x:c r="E5" s="90"/>
      <x:c r="F5" s="90"/>
      <x:c r="G5" s="90"/>
      <x:c r="H5" s="90"/>
      <x:c r="I5" s="90"/>
      <x:c r="J5" s="90"/>
    </x:row>
    <x:row r="6" ht="21" hidden="0" customHeight="1">
      <x:c r="A6" s="90"/>
      <x:c r="B6" s="90" t="str">
        <x:v>Equity purchase price</x:v>
      </x:c>
      <x:c r="C6" s="197" t="n">
        <x:f aca="0">C5*'Source Inputs'!$C$40</x:f>
        <x:v>6980483.900000001</x:v>
      </x:c>
      <x:c r="D6" s="90"/>
      <x:c r="E6" s="90"/>
      <x:c r="F6" s="90"/>
      <x:c r="G6" s="90"/>
      <x:c r="H6" s="90"/>
      <x:c r="I6" s="90"/>
      <x:c r="J6" s="90"/>
    </x:row>
    <x:row r="7" ht="21" hidden="0" customHeight="1">
      <x:c r="A7" s="90"/>
      <x:c r="B7" s="90" t="str">
        <x:v>Less net non-operating assets</x:v>
      </x:c>
      <x:c r="C7" s="197" t="n">
        <x:f aca="0">-'Source Inputs'!$C$43</x:f>
        <x:v>-66698.9</x:v>
      </x:c>
      <x:c r="D7" s="90"/>
      <x:c r="E7" s="90"/>
      <x:c r="F7" s="90"/>
      <x:c r="G7" s="90"/>
      <x:c r="H7" s="90"/>
      <x:c r="I7" s="90"/>
      <x:c r="J7" s="90"/>
    </x:row>
    <x:row r="8" ht="21" hidden="0" customHeight="1">
      <x:c r="A8" s="90"/>
      <x:c r="B8" s="90" t="str">
        <x:v>Entry enterprise value</x:v>
      </x:c>
      <x:c r="C8" s="146" t="n">
        <x:f aca="0">SUM(C6:C7)</x:f>
        <x:v>6913785.000000001</x:v>
      </x:c>
      <x:c r="D8" s="90"/>
      <x:c r="E8" s="90"/>
      <x:c r="F8" s="90"/>
      <x:c r="G8" s="90"/>
      <x:c r="H8" s="90"/>
      <x:c r="I8" s="90"/>
      <x:c r="J8" s="90"/>
    </x:row>
    <x:row r="9" ht="21" hidden="0" customHeight="1">
      <x:c r="A9" s="90"/>
      <x:c r="B9" s="115" t="str">
        <x:v>Annual entry EBITDA</x:v>
      </x:c>
      <x:c r="C9" s="202" t="n">
        <x:f aca="0">'Operating Forecast'!C57</x:f>
        <x:v>275878.12379999994</x:v>
      </x:c>
      <x:c r="D9" s="90"/>
      <x:c r="E9" s="90"/>
      <x:c r="F9" s="90"/>
      <x:c r="G9" s="90"/>
      <x:c r="H9" s="90"/>
      <x:c r="I9" s="90"/>
      <x:c r="J9" s="90"/>
    </x:row>
    <x:row r="10" ht="21" hidden="0" customHeight="1">
      <x:c r="A10" s="90"/>
      <x:c r="B10" s="90" t="str">
        <x:v>Assumed acquisition debt</x:v>
      </x:c>
      <x:c r="C10" s="197" t="n">
        <x:f aca="0">C9*'Assumptions'!$C$39</x:f>
        <x:v>1379390.6189999997</x:v>
      </x:c>
      <x:c r="D10" s="90"/>
      <x:c r="E10" s="90"/>
      <x:c r="F10" s="90"/>
      <x:c r="G10" s="90"/>
      <x:c r="H10" s="90"/>
      <x:c r="I10" s="90"/>
      <x:c r="J10" s="90"/>
    </x:row>
    <x:row r="11" ht="21" hidden="0" customHeight="1">
      <x:c r="A11" s="90"/>
      <x:c r="B11" s="115" t="str">
        <x:v>Transaction fees</x:v>
      </x:c>
      <x:c r="C11" s="202" t="n">
        <x:f aca="0">C8*'Assumptions'!$C$40</x:f>
        <x:v>138275.7</x:v>
      </x:c>
      <x:c r="D11" s="90"/>
      <x:c r="E11" s="90"/>
      <x:c r="F11" s="90"/>
      <x:c r="G11" s="90"/>
      <x:c r="H11" s="90"/>
      <x:c r="I11" s="90"/>
      <x:c r="J11" s="90"/>
    </x:row>
    <x:row r="12" ht="21" hidden="0" customHeight="1">
      <x:c r="A12" s="90"/>
      <x:c r="B12" s="90" t="str">
        <x:v>Buyer equity invested</x:v>
      </x:c>
      <x:c r="C12" s="102" t="n">
        <x:f>C8+C11-C10</x:f>
        <x:v>5672670.081000001</x:v>
      </x:c>
      <x:c r="D12" s="90"/>
      <x:c r="E12" s="90"/>
      <x:c r="F12" s="90"/>
      <x:c r="G12" s="90"/>
      <x:c r="H12" s="90"/>
      <x:c r="I12" s="90"/>
      <x:c r="J12" s="90"/>
    </x:row>
    <x:row r="13" ht="21" hidden="0" customHeight="1">
      <x:c r="A13" s="115"/>
      <x:c r="B13" s="115" t="str">
        <x:v>Holding period in years</x:v>
      </x:c>
      <x:c r="C13" s="224" t="n">
        <x:f>'DCF'!G15</x:f>
        <x:v>4.397260273972603</x:v>
      </x:c>
      <x:c r="D13" s="115"/>
      <x:c r="E13" s="115"/>
      <x:c r="F13" s="115"/>
      <x:c r="G13" s="115"/>
      <x:c r="H13" s="115"/>
      <x:c r="I13" s="115"/>
      <x:c r="J13" s="115"/>
    </x:row>
    <x:row r="14" ht="21" hidden="0" customHeight="1">
      <x:c r="A14" s="90"/>
      <x:c r="B14" s="90"/>
      <x:c r="C14" s="137"/>
      <x:c r="D14" s="90"/>
      <x:c r="E14" s="132"/>
      <x:c r="F14" s="90"/>
      <x:c r="G14" s="90"/>
      <x:c r="H14" s="90"/>
      <x:c r="I14" s="90"/>
      <x:c r="J14" s="90"/>
    </x:row>
    <x:row r="15" ht="21" hidden="0" customHeight="1">
      <x:c r="A15" s="90"/>
      <x:c r="B15" s="90"/>
      <x:c r="C15" s="136">
        <x:f aca="0"/>
      </x:c>
      <x:c r="D15" s="90"/>
      <x:c r="E15" s="90"/>
      <x:c r="F15" s="90"/>
      <x:c r="G15" s="90"/>
      <x:c r="H15" s="90"/>
      <x:c r="I15" s="90"/>
      <x:c r="J15" s="90"/>
    </x:row>
    <x:row r="16" ht="32" hidden="0" customHeight="1">
      <x:c r="A16" s="90"/>
      <x:c r="B16" s="90"/>
      <x:c r="C16" s="241" t="str">
        <x:v>FY2027 remainder</x:v>
      </x:c>
      <x:c r="D16" s="96" t="str">
        <x:v>FY2028E</x:v>
      </x:c>
      <x:c r="E16" s="96" t="str">
        <x:v>FY2029E</x:v>
      </x:c>
      <x:c r="F16" s="96" t="str">
        <x:v>FY2030E</x:v>
      </x:c>
      <x:c r="G16" s="96" t="str">
        <x:v>FY2031E</x:v>
      </x:c>
      <x:c r="H16" s="90"/>
      <x:c r="I16" s="90"/>
      <x:c r="J16" s="90"/>
    </x:row>
    <x:row r="17" ht="21" hidden="0" customHeight="1">
      <x:c r="A17" s="90"/>
      <x:c r="B17" s="90" t="str">
        <x:v>Year fraction</x:v>
      </x:c>
      <x:c r="C17" s="196" t="n">
        <x:f aca="0">'DCF'!C15</x:f>
        <x:v>0.40821917808219177</x:v>
      </x:c>
      <x:c r="D17" s="222" t="n">
        <x:f>'DCF'!D15-'DCF'!C15</x:f>
        <x:v>0.9972602739726029</x:v>
      </x:c>
      <x:c r="E17" s="222" t="n">
        <x:f>'DCF'!E15-'DCF'!D15</x:f>
        <x:v>0.9972602739726026</x:v>
      </x:c>
      <x:c r="F17" s="222" t="n">
        <x:f>'DCF'!F15-'DCF'!E15</x:f>
        <x:v>0.9972602739726026</x:v>
      </x:c>
      <x:c r="G17" s="222" t="n">
        <x:f>'DCF'!G15-'DCF'!F15</x:f>
        <x:v>0.9972602739726031</x:v>
      </x:c>
      <x:c r="H17" s="90"/>
      <x:c r="I17" s="90"/>
      <x:c r="J17" s="90"/>
    </x:row>
    <x:row r="18" ht="21" hidden="0" customHeight="1">
      <x:c r="A18" s="90"/>
      <x:c r="B18" s="115" t="str">
        <x:v>Unlevered cash flow</x:v>
      </x:c>
      <x:c r="C18" s="202" t="n">
        <x:f aca="0">'DCF'!C18</x:f>
        <x:v>76955.85367950791</x:v>
      </x:c>
      <x:c r="D18" s="199" t="n">
        <x:f>'DCF'!D18</x:f>
        <x:v>307945.359553</x:v>
      </x:c>
      <x:c r="E18" s="199" t="n">
        <x:f>'DCF'!E18</x:f>
        <x:v>442954.55642299994</x:v>
      </x:c>
      <x:c r="F18" s="199" t="n">
        <x:f>'DCF'!F18</x:f>
        <x:v>523081.9664439999</x:v>
      </x:c>
      <x:c r="G18" s="199" t="n">
        <x:f>'DCF'!G18</x:f>
        <x:v>622139.9185959998</x:v>
      </x:c>
      <x:c r="H18" s="90"/>
      <x:c r="I18" s="90"/>
      <x:c r="J18" s="90"/>
    </x:row>
    <x:row r="19" ht="21" hidden="0" customHeight="1">
      <x:c r="A19" s="90"/>
      <x:c r="B19" s="90" t="str">
        <x:v>Beginning acquisition debt</x:v>
      </x:c>
      <x:c r="C19" s="102" t="n">
        <x:f>$C$10</x:f>
        <x:v>1379390.6189999997</x:v>
      </x:c>
      <x:c r="D19" s="102" t="n">
        <x:f>C25</x:f>
        <x:v>1325943.9274934898</x:v>
      </x:c>
      <x:c r="E19" s="102" t="n">
        <x:f>D25</x:f>
        <x:v>1073205.0607243762</x:v>
      </x:c>
      <x:c r="F19" s="102" t="n">
        <x:f>E25</x:f>
        <x:v>674934.0585693992</x:v>
      </x:c>
      <x:c r="G19" s="102" t="n">
        <x:f>F25</x:f>
        <x:v>179953.3877091778</x:v>
      </x:c>
      <x:c r="H19" s="90"/>
      <x:c r="I19" s="90"/>
      <x:c r="J19" s="90"/>
    </x:row>
    <x:row r="20" ht="21" hidden="0" customHeight="1">
      <x:c r="A20" s="115"/>
      <x:c r="B20" s="115" t="str">
        <x:v>Cash interest</x:v>
      </x:c>
      <x:c r="C20" s="200" t="n">
        <x:f>-C19*'Assumptions'!$C$27*C17</x:f>
        <x:v>-28154.68523712328</x:v>
      </x:c>
      <x:c r="D20" s="200" t="n">
        <x:f>-D19*'Assumptions'!$C$27*D17</x:f>
        <x:v>-66115.56022022333</x:v>
      </x:c>
      <x:c r="E20" s="200" t="n">
        <x:f>-E19*'Assumptions'!$C$27*E17</x:f>
        <x:v>-53513.23864433875</x:v>
      </x:c>
      <x:c r="F20" s="200" t="n">
        <x:f>-F19*'Assumptions'!$C$27*F17</x:f>
        <x:v>-33654.246208117984</x:v>
      </x:c>
      <x:c r="G20" s="200" t="n">
        <x:f>-G19*'Assumptions'!$C$27*G17</x:f>
        <x:v>-8973.018236457636</x:v>
      </x:c>
      <x:c r="H20" s="115"/>
      <x:c r="I20" s="115"/>
      <x:c r="J20" s="115"/>
    </x:row>
    <x:row r="21" ht="21" hidden="0" customHeight="1">
      <x:c r="A21" s="90"/>
      <x:c r="B21" s="115" t="str">
        <x:v>Tax shield: limited by taxable earnings</x:v>
      </x:c>
      <x:c r="C21" s="202" t="n">
        <x:f>MIN(-C20,MAX(0,'Operating Forecast'!C14*'DCF'!C17))*'Assumptions'!$F$12</x:f>
        <x:v>4645.523064125342</x:v>
      </x:c>
      <x:c r="D21" s="202" t="n">
        <x:f>MIN(-D20,MAX(0,'Operating Forecast'!D14*'DCF'!D17))*'Assumptions'!$F$12</x:f>
        <x:v>10909.067436336849</x:v>
      </x:c>
      <x:c r="E21" s="202" t="n">
        <x:f>MIN(-E20,MAX(0,'Operating Forecast'!E14*'DCF'!E17))*'Assumptions'!$F$12</x:f>
        <x:v>8829.684376315894</x:v>
      </x:c>
      <x:c r="F21" s="202" t="n">
        <x:f>MIN(-F20,MAX(0,'Operating Forecast'!F14*'DCF'!F17))*'Assumptions'!$F$12</x:f>
        <x:v>5552.950624339467</x:v>
      </x:c>
      <x:c r="G21" s="202" t="n">
        <x:f>MIN(-G20,MAX(0,'Operating Forecast'!G14*'DCF'!G17))*'Assumptions'!$F$12</x:f>
        <x:v>1480.54800901551</x:v>
      </x:c>
      <x:c r="H21" s="90"/>
      <x:c r="I21" s="90"/>
      <x:c r="J21" s="90"/>
    </x:row>
    <x:row r="22" ht="21" hidden="0" customHeight="1">
      <x:c r="A22" s="90"/>
      <x:c r="B22" s="90" t="str">
        <x:v>Cash after financing</x:v>
      </x:c>
      <x:c r="C22" s="146" t="n">
        <x:f aca="0">SUM(C18,C20:C21)</x:f>
        <x:v>53446.691506509975</x:v>
      </x:c>
      <x:c r="D22" s="146" t="n">
        <x:f aca="0">SUM(D18,D20:D21)</x:f>
        <x:v>252738.86676911352</x:v>
      </x:c>
      <x:c r="E22" s="146" t="n">
        <x:f aca="0">SUM(E18,E20:E21)</x:f>
        <x:v>398271.00215497706</x:v>
      </x:c>
      <x:c r="F22" s="146" t="n">
        <x:f aca="0">SUM(F18,F20:F21)</x:f>
        <x:v>494980.6708602214</x:v>
      </x:c>
      <x:c r="G22" s="146" t="n">
        <x:f aca="0">SUM(G18,G20:G21)</x:f>
        <x:v>614647.4483685577</x:v>
      </x:c>
      <x:c r="H22" s="90"/>
      <x:c r="I22" s="90"/>
      <x:c r="J22" s="90"/>
    </x:row>
    <x:row r="23" ht="21" hidden="0" customHeight="1">
      <x:c r="A23" s="90"/>
      <x:c r="B23" s="90" t="str">
        <x:v>Debt repayment</x:v>
      </x:c>
      <x:c r="C23" s="146" t="n">
        <x:f aca="0">MIN(C19,MAX(0,C22))</x:f>
        <x:v>53446.691506509975</x:v>
      </x:c>
      <x:c r="D23" s="146" t="n">
        <x:f aca="0">MIN(D19,MAX(0,D22))</x:f>
        <x:v>252738.86676911352</x:v>
      </x:c>
      <x:c r="E23" s="146" t="n">
        <x:f aca="0">MIN(E19,MAX(0,E22))</x:f>
        <x:v>398271.00215497706</x:v>
      </x:c>
      <x:c r="F23" s="146" t="n">
        <x:f aca="0">MIN(F19,MAX(0,F22))</x:f>
        <x:v>494980.6708602214</x:v>
      </x:c>
      <x:c r="G23" s="146" t="n">
        <x:f aca="0">MIN(G19,MAX(0,G22))</x:f>
        <x:v>179953.3877091778</x:v>
      </x:c>
      <x:c r="H23" s="90"/>
      <x:c r="I23" s="90"/>
      <x:c r="J23" s="90"/>
    </x:row>
    <x:row r="24" ht="21" hidden="0" customHeight="1">
      <x:c r="A24" s="90"/>
      <x:c r="B24" s="90" t="str">
        <x:v>Additional financing needed</x:v>
      </x:c>
      <x:c r="C24" s="146" t="n">
        <x:f aca="0">MAX(0,-C22)</x:f>
        <x:v>0</x:v>
      </x:c>
      <x:c r="D24" s="146" t="n">
        <x:f aca="0">MAX(0,-D22)</x:f>
        <x:v>0</x:v>
      </x:c>
      <x:c r="E24" s="146" t="n">
        <x:f aca="0">MAX(0,-E22)</x:f>
        <x:v>0</x:v>
      </x:c>
      <x:c r="F24" s="146" t="n">
        <x:f aca="0">MAX(0,-F22)</x:f>
        <x:v>0</x:v>
      </x:c>
      <x:c r="G24" s="146" t="n">
        <x:f aca="0">MAX(0,-G22)</x:f>
        <x:v>0</x:v>
      </x:c>
      <x:c r="H24" s="90"/>
      <x:c r="I24" s="90"/>
      <x:c r="J24" s="90"/>
    </x:row>
    <x:row r="25" ht="21" hidden="0" customHeight="1">
      <x:c r="A25" s="90"/>
      <x:c r="B25" s="90" t="str">
        <x:v>Ending debt</x:v>
      </x:c>
      <x:c r="C25" s="146" t="n">
        <x:f aca="0">C19-C23+C24</x:f>
        <x:v>1325943.9274934898</x:v>
      </x:c>
      <x:c r="D25" s="146" t="n">
        <x:f aca="0">D19-D23+D24</x:f>
        <x:v>1073205.0607243762</x:v>
      </x:c>
      <x:c r="E25" s="146" t="n">
        <x:f aca="0">E19-E23+E24</x:f>
        <x:v>674934.0585693992</x:v>
      </x:c>
      <x:c r="F25" s="146" t="n">
        <x:f aca="0">F19-F23+F24</x:f>
        <x:v>179953.3877091778</x:v>
      </x:c>
      <x:c r="G25" s="146" t="n">
        <x:f aca="0">G19-G23+G24</x:f>
        <x:v>0</x:v>
      </x:c>
      <x:c r="H25" s="90"/>
      <x:c r="I25" s="90"/>
      <x:c r="J25" s="90"/>
    </x:row>
    <x:row r="26" ht="21" hidden="0" customHeight="1">
      <x:c r="A26" s="90"/>
      <x:c r="B26" s="115" t="str">
        <x:v>Cash remaining after debt repayment</x:v>
      </x:c>
      <x:c r="C26" s="149" t="n">
        <x:f aca="0">MAX(0,C22-C23)</x:f>
        <x:v>0</x:v>
      </x:c>
      <x:c r="D26" s="149" t="n">
        <x:f aca="0">MAX(0,D22-D23)</x:f>
        <x:v>0</x:v>
      </x:c>
      <x:c r="E26" s="149" t="n">
        <x:f aca="0">MAX(0,E22-E23)</x:f>
        <x:v>0</x:v>
      </x:c>
      <x:c r="F26" s="149" t="n">
        <x:f aca="0">MAX(0,F22-F23)</x:f>
        <x:v>0</x:v>
      </x:c>
      <x:c r="G26" s="149" t="n">
        <x:f aca="0">MAX(0,G22-G23)</x:f>
        <x:v>434694.06065937993</x:v>
      </x:c>
      <x:c r="H26" s="90"/>
      <x:c r="I26" s="90"/>
      <x:c r="J26" s="90"/>
    </x:row>
    <x:row r="27" ht="21" hidden="0" customHeight="1">
      <x:c r="A27" s="90"/>
      <x:c r="B27" s="90" t="str">
        <x:v>Cumulative surplus cash</x:v>
      </x:c>
      <x:c r="C27" s="102" t="n">
        <x:f>0+C26</x:f>
        <x:v>0</x:v>
      </x:c>
      <x:c r="D27" s="102" t="n">
        <x:f>C27+D26</x:f>
        <x:v>0</x:v>
      </x:c>
      <x:c r="E27" s="102" t="n">
        <x:f>D27+E26</x:f>
        <x:v>0</x:v>
      </x:c>
      <x:c r="F27" s="102" t="n">
        <x:f>E27+F26</x:f>
        <x:v>0</x:v>
      </x:c>
      <x:c r="G27" s="102" t="n">
        <x:f>F27+G26</x:f>
        <x:v>434694.06065937993</x:v>
      </x:c>
      <x:c r="H27" s="90"/>
      <x:c r="I27" s="90"/>
      <x:c r="J27" s="90"/>
    </x:row>
    <x:row r="28" ht="21" hidden="0" customHeight="1">
      <x:c r="A28" s="115"/>
      <x:c r="B28" s="115"/>
      <x:c r="C28" s="115"/>
      <x:c r="D28" s="115"/>
      <x:c r="E28" s="115"/>
      <x:c r="F28" s="115"/>
      <x:c r="G28" s="115"/>
      <x:c r="H28" s="115"/>
      <x:c r="I28" s="115"/>
      <x:c r="J28" s="115"/>
    </x:row>
    <x:row r="29" ht="21" hidden="0" customHeight="1">
      <x:c r="A29" s="90"/>
      <x:c r="B29" s="90"/>
      <x:c r="C29" s="137"/>
      <x:c r="D29" s="90"/>
      <x:c r="E29" s="132"/>
      <x:c r="F29" s="90"/>
      <x:c r="G29" s="90"/>
      <x:c r="H29" s="90"/>
      <x:c r="I29" s="90"/>
      <x:c r="J29" s="90"/>
    </x:row>
    <x:row r="30" ht="21" hidden="0" customHeight="1">
      <x:c r="A30" s="90"/>
      <x:c r="B30" s="90" t="str">
        <x:v>Exit enterprise value</x:v>
      </x:c>
      <x:c r="C30" s="197" t="n">
        <x:f aca="0">'DCF'!C35</x:f>
        <x:v>10965260.229479998</x:v>
      </x:c>
      <x:c r="D30" s="90"/>
      <x:c r="E30" s="90"/>
      <x:c r="F30" s="90"/>
      <x:c r="G30" s="90"/>
      <x:c r="H30" s="90"/>
      <x:c r="I30" s="90"/>
      <x:c r="J30" s="90"/>
    </x:row>
    <x:row r="31" ht="21" hidden="0" customHeight="1">
      <x:c r="A31" s="90"/>
      <x:c r="B31" s="90" t="str">
        <x:v>New investment portfolio at exit</x:v>
      </x:c>
      <x:c r="C31" s="197" t="n">
        <x:f aca="0">'DCF'!C36</x:f>
        <x:v>18965.15</x:v>
      </x:c>
      <x:c r="D31" s="90"/>
      <x:c r="E31" s="90"/>
      <x:c r="F31" s="90"/>
      <x:c r="G31" s="90"/>
      <x:c r="H31" s="90"/>
      <x:c r="I31" s="90"/>
      <x:c r="J31" s="90"/>
    </x:row>
    <x:row r="32" ht="21" hidden="0" customHeight="1">
      <x:c r="A32" s="90"/>
      <x:c r="B32" s="115" t="str">
        <x:v>Exit buyer equity</x:v>
      </x:c>
      <x:c r="C32" s="149" t="n">
        <x:f aca="0">C30+C31-G25+G27</x:f>
        <x:v>11418919.44013938</x:v>
      </x:c>
      <x:c r="D32" s="90"/>
      <x:c r="E32" s="90"/>
      <x:c r="F32" s="90"/>
      <x:c r="G32" s="90"/>
      <x:c r="H32" s="90"/>
      <x:c r="I32" s="90"/>
      <x:c r="J32" s="90"/>
    </x:row>
    <x:row r="33" ht="21" hidden="0" customHeight="1">
      <x:c r="A33" s="90"/>
      <x:c r="B33" s="115" t="str">
        <x:v>Money multiple</x:v>
      </x:c>
      <x:c r="C33" s="157" t="n">
        <x:f aca="0">C32/C12</x:f>
        <x:v>2.0129708368526176</x:v>
      </x:c>
      <x:c r="D33" s="90"/>
      <x:c r="E33" s="90"/>
      <x:c r="F33" s="90"/>
      <x:c r="G33" s="90"/>
      <x:c r="H33" s="90"/>
      <x:c r="I33" s="90"/>
      <x:c r="J33" s="90"/>
    </x:row>
    <x:row r="34" ht="21" hidden="0" customHeight="1">
      <x:c r="A34" s="90"/>
      <x:c r="B34" s="115" t="str">
        <x:v>Annualized buyer return</x:v>
      </x:c>
      <x:c r="C34" s="153" t="n">
        <x:f aca="0">IF(AND(C12&gt;0,C32&gt;=0),(C32/C12)^(1/C13)-1,0)</x:f>
        <x:v>0.172457199301165</x:v>
      </x:c>
      <x:c r="D34" s="90"/>
      <x:c r="E34" s="90"/>
      <x:c r="F34" s="90"/>
      <x:c r="G34" s="90"/>
      <x:c r="H34" s="90"/>
      <x:c r="I34" s="90"/>
      <x:c r="J34" s="90"/>
    </x:row>
    <x:row r="35" ht="21" hidden="0" customHeight="1">
      <x:c r="A35" s="90"/>
      <x:c r="B35" s="90"/>
      <x:c r="C35" s="90"/>
      <x:c r="D35" s="90"/>
      <x:c r="E35" s="90"/>
      <x:c r="F35" s="90"/>
      <x:c r="G35" s="90"/>
      <x:c r="H35" s="90"/>
      <x:c r="I35" s="90"/>
      <x:c r="J35" s="90"/>
    </x:row>
    <x:row r="36" ht="21" hidden="0" customHeight="1">
      <x:c r="A36" s="115"/>
      <x:c r="B36" s="115"/>
      <x:c r="C36" s="115"/>
      <x:c r="D36" s="115"/>
      <x:c r="E36" s="115"/>
      <x:c r="F36" s="115"/>
      <x:c r="G36" s="115"/>
      <x:c r="H36" s="115"/>
      <x:c r="I36" s="115"/>
      <x:c r="J36" s="115"/>
    </x:row>
    <x:row r="37" ht="21" hidden="0" customHeight="1">
      <x:c r="A37" s="90"/>
      <x:c r="B37" s="90" t="str">
        <x:v>Required annual return</x:v>
      </x:c>
      <x:c r="C37" s="198" t="n">
        <x:f>'Assumptions'!$C$41</x:f>
        <x:v>0.2</x:v>
      </x:c>
      <x:c r="D37" s="90"/>
      <x:c r="E37" s="90"/>
      <x:c r="F37" s="90"/>
      <x:c r="G37" s="90"/>
      <x:c r="H37" s="90"/>
      <x:c r="I37" s="90"/>
      <x:c r="J37" s="90"/>
    </x:row>
    <x:row r="38" ht="21" hidden="0" customHeight="1">
      <x:c r="A38" s="90"/>
      <x:c r="B38" s="90" t="str">
        <x:v>Maximum buyer equity</x:v>
      </x:c>
      <x:c r="C38" s="146" t="n">
        <x:f aca="0">C32/(1+C37)^C13</x:f>
        <x:v>5122057.63943043</x:v>
      </x:c>
      <x:c r="D38" s="90"/>
      <x:c r="E38" s="90"/>
      <x:c r="F38" s="90"/>
      <x:c r="G38" s="90"/>
      <x:c r="H38" s="90"/>
      <x:c r="I38" s="90"/>
      <x:c r="J38" s="90"/>
    </x:row>
    <x:row r="39" ht="21" hidden="0" customHeight="1">
      <x:c r="A39" s="90"/>
      <x:c r="B39" s="90" t="str">
        <x:v>Maximum entry EV before fees</x:v>
      </x:c>
      <x:c r="C39" s="197" t="n">
        <x:f aca="0">(C38+C10)/(1+'Assumptions'!$C$40)</x:f>
        <x:v>6373968.880814146</x:v>
      </x:c>
      <x:c r="D39" s="90"/>
      <x:c r="E39" s="90"/>
      <x:c r="F39" s="90"/>
      <x:c r="G39" s="90"/>
      <x:c r="H39" s="90"/>
      <x:c r="I39" s="90"/>
      <x:c r="J39" s="90"/>
    </x:row>
    <x:row r="40" ht="21" hidden="0" customHeight="1">
      <x:c r="A40" s="90"/>
      <x:c r="B40" s="115" t="str">
        <x:v>Maximum offer per diluted share</x:v>
      </x:c>
      <x:c r="C40" s="226" t="n">
        <x:f aca="0">(C39+'Source Inputs'!$C$43)/'Source Inputs'!$C$40</x:f>
        <x:v>265.682195397003</x:v>
      </x:c>
      <x:c r="D40" s="90"/>
      <x:c r="E40" s="132"/>
      <x:c r="F40" s="90"/>
      <x:c r="G40" s="90"/>
      <x:c r="H40" s="90"/>
      <x:c r="I40" s="90"/>
      <x:c r="J40" s="90"/>
    </x:row>
    <x:row r="41" ht="21" hidden="0" customHeight="1">
      <x:c r="A41" s="90"/>
      <x:c r="B41" s="90"/>
      <x:c r="C41" s="90"/>
      <x:c r="D41" s="90"/>
      <x:c r="E41" s="90"/>
      <x:c r="F41" s="90"/>
      <x:c r="G41" s="90"/>
      <x:c r="H41" s="90"/>
      <x:c r="I41" s="90"/>
      <x:c r="J41" s="90"/>
    </x:row>
    <x:row r="42" ht="21" hidden="0" customHeight="1">
      <x:c r="A42" s="90"/>
      <x:c r="B42" s="132" t="str">
        <x:v>Additional financing across hold</x:v>
      </x:c>
      <x:c r="C42" s="102" t="n">
        <x:f>SUM(C24:G24)</x:f>
        <x:v>0</x:v>
      </x:c>
      <x:c r="D42" s="90"/>
      <x:c r="E42" s="90"/>
      <x:c r="F42" s="90"/>
      <x:c r="G42" s="90"/>
      <x:c r="H42" s="90"/>
      <x:c r="I42" s="90"/>
      <x:c r="J42" s="90"/>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90"/>
      <x:c r="C45" s="90"/>
      <x:c r="D45" s="90"/>
      <x:c r="E45" s="90"/>
      <x:c r="F45" s="90"/>
      <x:c r="G45" s="90"/>
      <x:c r="H45" s="90"/>
      <x:c r="I45" s="90"/>
      <x:c r="J45" s="90"/>
    </x:row>
    <x:row r="46" ht="21" hidden="0" customHeight="1">
      <x:c r="A46" s="90"/>
      <x:c r="B46" s="111" t="str">
        <x:v>The buyer ceiling backs out transaction fees at the ceiling itself. Cash beyond debt repayment is retained and included at exit. The holding period follows the actual valuation timeline. Buyer-created synergies are not used to justify the entry price.</x:v>
      </x:c>
      <x:c r="C46" s="111"/>
      <x:c r="D46" s="111"/>
      <x:c r="E46" s="111"/>
      <x:c r="F46" s="111"/>
      <x:c r="G46" s="111"/>
      <x:c r="H46" s="111"/>
      <x:c r="I46" s="111"/>
      <x:c r="J46" s="111"/>
    </x:row>
    <x:row r="47" ht="21" hidden="0" customHeight="1">
      <x:c r="A47" s="90"/>
      <x:c r="B47" s="111"/>
      <x:c r="C47" s="111"/>
      <x:c r="D47" s="111"/>
      <x:c r="E47" s="111"/>
      <x:c r="F47" s="111"/>
      <x:c r="G47" s="111"/>
      <x:c r="H47" s="111"/>
      <x:c r="I47" s="111"/>
      <x:c r="J47" s="111"/>
    </x:row>
    <x:row r="48" ht="21" hidden="0" customHeight="1">
      <x:c r="A48" s="90"/>
      <x:c r="B48" s="111"/>
      <x:c r="C48" s="111"/>
      <x:c r="D48" s="111"/>
      <x:c r="E48" s="111"/>
      <x:c r="F48" s="111"/>
      <x:c r="G48" s="111"/>
      <x:c r="H48" s="111"/>
      <x:c r="I48" s="111"/>
      <x:c r="J48" s="111"/>
    </x:row>
    <x:row r="49" ht="21" hidden="0" customHeight="1">
      <x:c r="A49" s="90"/>
      <x:c r="B49" s="90"/>
      <x:c r="C49" s="90"/>
      <x:c r="D49" s="90"/>
      <x:c r="E49" s="90"/>
      <x:c r="F49" s="90"/>
      <x:c r="G49" s="90"/>
      <x:c r="H49" s="90"/>
      <x:c r="I49" s="90"/>
      <x:c r="J49" s="90"/>
    </x:row>
    <x:row r="50" ht="21" hidden="0" customHeight="1">
      <x:c r="A50" s="90"/>
      <x:c r="B50" s="90"/>
      <x:c r="C50" s="90"/>
      <x:c r="D50" s="90"/>
      <x:c r="E50" s="90"/>
      <x:c r="F50" s="90"/>
      <x:c r="G50" s="90"/>
      <x:c r="H50" s="90"/>
      <x:c r="I50" s="90"/>
      <x:c r="J50" s="90"/>
    </x:row>
    <x:row r="51" ht="21" hidden="0" customHeight="1">
      <x:c r="A51" s="90"/>
      <x:c r="B51" s="111" t="str">
        <x:v>Net non-operating assets are assumed realized at the entry values used in the capital bridge. Financing capacity, tax shields and investment recoveries are assumptions. A positive modeled return does not establish that a transaction can be financed.</x:v>
      </x:c>
      <x:c r="C51" s="111"/>
      <x:c r="D51" s="111"/>
      <x:c r="E51" s="111"/>
      <x:c r="F51" s="111"/>
      <x:c r="G51" s="111"/>
      <x:c r="H51" s="111"/>
      <x:c r="I51" s="111"/>
      <x:c r="J51" s="111"/>
    </x:row>
    <x:row r="52" ht="21" hidden="0" customHeight="1">
      <x:c r="A52" s="90"/>
      <x:c r="B52" s="111"/>
      <x:c r="C52" s="111"/>
      <x:c r="D52" s="111"/>
      <x:c r="E52" s="111"/>
      <x:c r="F52" s="111"/>
      <x:c r="G52" s="111"/>
      <x:c r="H52" s="111"/>
      <x:c r="I52" s="111"/>
      <x:c r="J52" s="111"/>
    </x:row>
    <x:row r="53" ht="21" hidden="0" customHeight="1">
      <x:c r="A53" s="90"/>
      <x:c r="B53" s="111"/>
      <x:c r="C53" s="111"/>
      <x:c r="D53" s="111"/>
      <x:c r="E53" s="111"/>
      <x:c r="F53" s="111"/>
      <x:c r="G53" s="111"/>
      <x:c r="H53" s="111"/>
      <x:c r="I53" s="111"/>
      <x:c r="J53" s="111"/>
    </x:row>
    <x:row r="54" ht="21" hidden="0" customHeight="1">
      <x:c r="A54" s="90"/>
      <x:c r="B54" s="90"/>
      <x:c r="C54" s="90"/>
      <x:c r="D54" s="90"/>
      <x:c r="E54" s="90"/>
      <x:c r="F54" s="90"/>
      <x:c r="G54" s="90"/>
      <x:c r="H54" s="90"/>
      <x:c r="I54" s="90"/>
      <x:c r="J54" s="90"/>
    </x:row>
    <x:row r="55" ht="21" hidden="0" customHeight="1">
      <x:c r="A55" s="90"/>
      <x:c r="B55" s="90"/>
      <x:c r="C55" s="90"/>
      <x:c r="D55" s="90"/>
      <x:c r="E55" s="90"/>
      <x:c r="F55" s="90"/>
      <x:c r="G55" s="90"/>
      <x:c r="H55" s="90"/>
      <x:c r="I55" s="90"/>
      <x:c r="J55" s="90"/>
    </x:row>
    <x:row r="56" ht="21" hidden="0" customHeight="1">
      <x:c r="A56" s="90"/>
      <x:c r="B56" s="90"/>
      <x:c r="C56" s="90"/>
      <x:c r="D56" s="90"/>
      <x:c r="E56" s="90"/>
      <x:c r="F56" s="90"/>
      <x:c r="G56" s="90"/>
      <x:c r="H56" s="90"/>
      <x:c r="I56" s="90"/>
      <x:c r="J56" s="90"/>
    </x:row>
    <x:row r="57" ht="21" hidden="0" customHeight="1">
      <x:c r="A57" s="90"/>
      <x:c r="B57" s="90"/>
      <x:c r="C57" s="90"/>
      <x:c r="D57" s="90"/>
      <x:c r="E57" s="90"/>
      <x:c r="F57" s="90"/>
      <x:c r="G57" s="90"/>
      <x:c r="H57" s="90"/>
      <x:c r="I57" s="90"/>
      <x:c r="J57" s="90"/>
    </x:row>
    <x:row r="58" ht="21" hidden="0" customHeight="1">
      <x:c r="A58" s="90"/>
      <x:c r="B58" s="90"/>
      <x:c r="C58" s="90"/>
      <x:c r="D58" s="90"/>
      <x:c r="E58" s="90"/>
      <x:c r="F58" s="90"/>
      <x:c r="G58" s="90"/>
      <x:c r="H58" s="90"/>
      <x:c r="I58" s="90"/>
      <x:c r="J58" s="90"/>
    </x:row>
    <x:row r="59" ht="21" hidden="0" customHeight="1">
      <x:c r="A59" s="90"/>
      <x:c r="B59" s="90"/>
      <x:c r="C59" s="90"/>
      <x:c r="D59" s="90"/>
      <x:c r="E59" s="90"/>
      <x:c r="F59" s="90"/>
      <x:c r="G59" s="90"/>
      <x:c r="H59" s="90"/>
      <x:c r="I59" s="90"/>
      <x:c r="J59" s="90"/>
    </x:row>
    <x:row r="60" ht="21" hidden="0" customHeight="1">
      <x:c r="A60" s="90"/>
      <x:c r="B60" s="90"/>
      <x:c r="C60" s="90"/>
      <x:c r="D60" s="90"/>
      <x:c r="E60" s="90"/>
      <x:c r="F60" s="90"/>
      <x:c r="G60" s="90"/>
      <x:c r="H60" s="90"/>
      <x:c r="I60" s="90"/>
      <x:c r="J60" s="90"/>
    </x:row>
    <x:row r="61" ht="21" hidden="0" customHeight="1">
      <x:c r="A61" s="90"/>
      <x:c r="B61" s="90"/>
      <x:c r="C61" s="90"/>
      <x:c r="D61" s="90"/>
      <x:c r="E61" s="90"/>
      <x:c r="F61" s="90"/>
      <x:c r="G61" s="90"/>
      <x:c r="H61" s="90"/>
      <x:c r="I61" s="90"/>
      <x:c r="J61" s="90"/>
    </x:row>
    <x:row r="62" ht="15" hidden="0">
      <x:c r="A62" s="2"/>
      <x:c r="B62" s="2"/>
      <x:c r="C62" s="2"/>
      <x:c r="D62" s="2"/>
      <x:c r="E62" s="2"/>
      <x:c r="F62" s="2"/>
      <x:c r="G62" s="2"/>
      <x:c r="H62" s="2"/>
      <x:c r="I62" s="2"/>
      <x:c r="J62" s="2"/>
    </x:row>
    <x:row r="63" ht="15" hidden="0">
      <x:c r="A63" s="2"/>
      <x:c r="B63" s="2"/>
      <x:c r="C63" s="2"/>
      <x:c r="D63" s="2"/>
      <x:c r="E63" s="2"/>
      <x:c r="F63" s="2"/>
      <x:c r="G63" s="2"/>
      <x:c r="H63" s="2"/>
      <x:c r="I63" s="2"/>
      <x:c r="J63" s="2"/>
    </x:row>
    <x:row r="64" ht="15" hidden="0">
      <x:c r="A64" s="2"/>
      <x:c r="B64" s="2"/>
      <x:c r="C64" s="2"/>
      <x:c r="D64" s="2"/>
      <x:c r="E64" s="2"/>
      <x:c r="F64" s="2"/>
      <x:c r="G64" s="2"/>
      <x:c r="H64" s="2"/>
      <x:c r="I64" s="2"/>
      <x:c r="J64" s="2"/>
    </x:row>
    <x:row r="65" ht="15" hidden="0">
      <x:c r="A65" s="2"/>
      <x:c r="B65" s="2"/>
      <x:c r="C65" s="2"/>
      <x:c r="D65" s="2"/>
      <x:c r="E65" s="2"/>
      <x:c r="F65" s="2"/>
      <x:c r="G65" s="2"/>
      <x:c r="H65" s="2"/>
      <x:c r="I65" s="2"/>
      <x:c r="J65" s="2"/>
    </x:row>
    <x:row r="66" ht="15" hidden="0">
      <x:c r="A66" s="2"/>
      <x:c r="B66" s="2"/>
      <x:c r="C66" s="2"/>
      <x:c r="D66" s="2"/>
      <x:c r="E66" s="2"/>
      <x:c r="F66" s="2"/>
      <x:c r="G66" s="2"/>
      <x:c r="H66" s="2"/>
      <x:c r="I66" s="2"/>
      <x:c r="J66" s="2"/>
    </x:row>
    <x:row r="67" ht="15" hidden="0">
      <x:c r="A67" s="2"/>
      <x:c r="B67" s="2"/>
      <x:c r="C67" s="2"/>
      <x:c r="D67" s="2"/>
      <x:c r="E67" s="2"/>
      <x:c r="F67" s="2"/>
      <x:c r="G67" s="2"/>
      <x:c r="H67" s="2"/>
      <x:c r="I67" s="2"/>
      <x:c r="J67" s="2"/>
    </x:row>
    <x:row r="68" ht="15" hidden="0">
      <x:c r="A68" s="2"/>
      <x:c r="B68" s="2"/>
      <x:c r="C68" s="2"/>
      <x:c r="D68" s="2"/>
      <x:c r="E68" s="2"/>
      <x:c r="F68" s="2"/>
      <x:c r="G68" s="2"/>
      <x:c r="H68" s="2"/>
      <x:c r="I68" s="2"/>
      <x:c r="J68" s="2"/>
    </x:row>
    <x:row r="69" ht="15" hidden="0">
      <x:c r="A69" s="2"/>
      <x:c r="B69" s="2"/>
      <x:c r="C69" s="2"/>
      <x:c r="D69" s="2"/>
      <x:c r="E69" s="2"/>
      <x:c r="F69" s="2"/>
      <x:c r="G69" s="2"/>
      <x:c r="H69" s="2"/>
      <x:c r="I69" s="2"/>
      <x:c r="J69" s="2"/>
    </x:row>
    <x:row r="70" ht="15" hidden="0">
      <x:c r="A70" s="2"/>
      <x:c r="B70" s="2"/>
      <x:c r="C70" s="2"/>
      <x:c r="D70" s="2"/>
      <x:c r="E70" s="2"/>
      <x:c r="F70" s="2"/>
      <x:c r="G70" s="2"/>
      <x:c r="H70" s="2"/>
      <x:c r="I70" s="2"/>
      <x:c r="J70" s="2"/>
    </x:row>
    <x:row r="71" ht="15" hidden="0">
      <x:c r="A71" s="2"/>
      <x:c r="B71" s="2"/>
      <x:c r="C71" s="2"/>
      <x:c r="D71" s="2"/>
      <x:c r="E71" s="2"/>
      <x:c r="F71" s="2"/>
      <x:c r="G71" s="2"/>
      <x:c r="H71" s="2"/>
      <x:c r="I71" s="2"/>
      <x:c r="J71" s="2"/>
    </x:row>
    <x:row r="72" ht="15" hidden="0">
      <x:c r="A72" s="2"/>
      <x:c r="B72" s="2"/>
      <x:c r="C72" s="2"/>
      <x:c r="D72" s="2"/>
      <x:c r="E72" s="2"/>
      <x:c r="F72" s="2"/>
      <x:c r="G72" s="2"/>
      <x:c r="H72" s="2"/>
      <x:c r="I72" s="2"/>
      <x:c r="J72" s="2"/>
    </x:row>
    <x:row r="73" ht="15" hidden="0">
      <x:c r="A73" s="2"/>
      <x:c r="B73" s="2"/>
      <x:c r="C73" s="2"/>
      <x:c r="D73" s="2"/>
      <x:c r="E73" s="2"/>
      <x:c r="F73" s="2"/>
      <x:c r="G73" s="2"/>
      <x:c r="H73" s="2"/>
      <x:c r="I73" s="2"/>
      <x:c r="J73" s="2"/>
    </x:row>
    <x:row r="74" ht="15" hidden="0">
      <x:c r="A74" s="2"/>
      <x:c r="B74" s="2"/>
      <x:c r="C74" s="2"/>
      <x:c r="D74" s="2"/>
      <x:c r="E74" s="2"/>
      <x:c r="F74" s="2"/>
      <x:c r="G74" s="2"/>
      <x:c r="H74" s="2"/>
      <x:c r="I74" s="2"/>
      <x:c r="J74" s="2"/>
    </x:row>
    <x:row r="75" ht="15" hidden="0">
      <x:c r="A75" s="2"/>
      <x:c r="B75" s="2"/>
      <x:c r="C75" s="2"/>
      <x:c r="D75" s="2"/>
      <x:c r="E75" s="2"/>
      <x:c r="F75" s="2"/>
      <x:c r="G75" s="2"/>
      <x:c r="H75" s="2"/>
      <x:c r="I75" s="2"/>
      <x:c r="J75" s="2"/>
    </x:row>
    <x:row r="76" ht="15" hidden="0">
      <x:c r="A76" s="2"/>
      <x:c r="B76" s="2"/>
      <x:c r="C76" s="2"/>
      <x:c r="D76" s="2"/>
      <x:c r="E76" s="2"/>
      <x:c r="F76" s="2"/>
      <x:c r="G76" s="2"/>
      <x:c r="H76" s="2"/>
      <x:c r="I76" s="2"/>
      <x:c r="J76" s="2"/>
    </x:row>
    <x:row r="77" ht="15" hidden="0">
      <x:c r="A77" s="2"/>
      <x:c r="B77" s="2"/>
      <x:c r="C77" s="2"/>
      <x:c r="D77" s="2"/>
      <x:c r="E77" s="2"/>
      <x:c r="F77" s="2"/>
      <x:c r="G77" s="2"/>
      <x:c r="H77" s="2"/>
      <x:c r="I77" s="2"/>
      <x:c r="J77" s="2"/>
    </x:row>
    <x:row r="78" ht="15" hidden="0">
      <x:c r="A78" s="2"/>
      <x:c r="B78" s="2"/>
      <x:c r="C78" s="2"/>
      <x:c r="D78" s="2"/>
      <x:c r="E78" s="2"/>
      <x:c r="F78" s="2"/>
      <x:c r="G78" s="2"/>
      <x:c r="H78" s="2"/>
      <x:c r="I78" s="2"/>
      <x:c r="J78" s="2"/>
    </x:row>
    <x:row r="79" ht="15" hidden="0">
      <x:c r="A79" s="2"/>
      <x:c r="B79" s="2"/>
      <x:c r="C79" s="2"/>
      <x:c r="D79" s="2"/>
      <x:c r="E79" s="2"/>
      <x:c r="F79" s="2"/>
      <x:c r="G79" s="2"/>
      <x:c r="H79" s="2"/>
      <x:c r="I79" s="2"/>
      <x:c r="J79" s="2"/>
    </x:row>
    <x:row r="80" ht="15" hidden="0">
      <x:c r="A80" s="2"/>
      <x:c r="B80" s="2"/>
      <x:c r="C80" s="2"/>
      <x:c r="D80" s="2"/>
      <x:c r="E80" s="2"/>
      <x:c r="F80" s="2"/>
      <x:c r="G80" s="2"/>
      <x:c r="H80" s="2"/>
      <x:c r="I80" s="2"/>
      <x:c r="J80" s="2"/>
    </x:row>
  </x:sheetData>
  <x:mergeCells>
    <x:mergeCell ref="A1:J1"/>
    <x:mergeCell ref="A2:J3"/>
    <x:mergeCell ref="B46:J48"/>
    <x:mergeCell ref="B51:J53"/>
  </x:mergeCells>
  <x:pageMargins left="0.7" right="0.7" top="0.75" bottom="0.75" header="0.3" footer="0.3"/>
</x:worksheet>
</file>

<file path=xl/worksheets/sheet12.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7" width="12"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SENSITIVITIES</x:v>
      </x:c>
      <x:c r="B1" s="142"/>
      <x:c r="C1" s="142"/>
      <x:c r="D1" s="142"/>
      <x:c r="E1" s="142"/>
      <x:c r="F1" s="142"/>
      <x:c r="G1" s="142"/>
      <x:c r="H1" s="142"/>
      <x:c r="I1" s="142"/>
      <x:c r="J1" s="142"/>
      <x:c r="K1" s="2"/>
      <x:c r="L1" s="2"/>
    </x:row>
    <x:row r="2" ht="21" hidden="0" customHeight="1">
      <x:c r="A2" s="144" t="str">
        <x:v>Each cell recalculates cash-flow discounting, terminal value, investment recovery and the equity bridge.</x:v>
      </x:c>
      <x:c r="B2" s="144"/>
      <x:c r="C2" s="144"/>
      <x:c r="D2" s="144"/>
      <x:c r="E2" s="144"/>
      <x:c r="F2" s="144"/>
      <x:c r="G2" s="144"/>
      <x:c r="H2" s="144"/>
      <x:c r="I2" s="144"/>
      <x:c r="J2" s="144"/>
      <x:c r="K2" s="2"/>
      <x:c r="L2" s="2"/>
    </x:row>
    <x:row r="3" ht="21" hidden="0" customHeight="1">
      <x:c r="A3" s="94"/>
      <x:c r="B3" s="94"/>
      <x:c r="C3" s="94"/>
      <x:c r="D3" s="94"/>
      <x:c r="E3" s="94"/>
      <x:c r="F3" s="94"/>
      <x:c r="G3" s="94"/>
      <x:c r="H3" s="94"/>
      <x:c r="I3" s="94"/>
      <x:c r="J3" s="94"/>
      <x:c r="K3" s="2"/>
      <x:c r="L3" s="2"/>
    </x:row>
    <x:row r="4" ht="21" hidden="0" customHeight="1">
      <x:c r="A4" s="115"/>
      <x:c r="B4" s="115"/>
      <x:c r="C4" s="115"/>
      <x:c r="D4" s="115"/>
      <x:c r="E4" s="115"/>
      <x:c r="F4" s="115"/>
      <x:c r="G4" s="115"/>
      <x:c r="H4" s="115"/>
      <x:c r="I4" s="115"/>
      <x:c r="J4" s="115"/>
      <x:c r="K4" s="2"/>
      <x:c r="L4" s="2"/>
    </x:row>
    <x:row r="5" ht="21" hidden="0" customHeight="1">
      <x:c r="A5" s="90"/>
      <x:c r="B5" s="118" t="str">
        <x:v>WACC / terminal growth</x:v>
      </x:c>
      <x:c r="C5" s="218" t="n">
        <x:f>'DCF'!C10+-0.01</x:f>
        <x:v>0.025</x:v>
      </x:c>
      <x:c r="D5" s="218" t="n">
        <x:f>'DCF'!C10+-0.005</x:f>
        <x:v>0.030000000000000002</x:v>
      </x:c>
      <x:c r="E5" s="218" t="n">
        <x:f>'DCF'!C10+0</x:f>
        <x:v>0.035</x:v>
      </x:c>
      <x:c r="F5" s="218" t="n">
        <x:f>'DCF'!C10+0.005</x:f>
        <x:v>0.04</x:v>
      </x:c>
      <x:c r="G5" s="218" t="n">
        <x:f>'DCF'!C10+0.01</x:f>
        <x:v>0.045000000000000005</x:v>
      </x:c>
      <x:c r="H5" s="90"/>
      <x:c r="I5" s="90"/>
      <x:c r="J5" s="90"/>
      <x:c r="K5" s="2"/>
      <x:c r="L5" s="2"/>
    </x:row>
    <x:row r="6" ht="21" hidden="0" customHeight="1">
      <x:c r="A6" s="90"/>
      <x:c r="B6" s="218" t="n">
        <x:f>'DCF'!C9+-0.03</x:f>
        <x:v>0.10642979390010757</x:v>
      </x:c>
      <x:c r="C6" s="240" t="n">
        <x:f aca="0">IF($B6&gt;C$5,('DCF'!C18/(1+$B6)^'DCF'!C16+'DCF'!D18/(1+$B6)^'DCF'!D16+'DCF'!E18/(1+$B6)^'DCF'!E16+'DCF'!F18/(1+$B6)^'DCF'!F16+'DCF'!G18/(1+$B6)^'DCF'!G16+(('Operating Forecast'!G9*(1+C$5)*('Assumptions'!$F$18-'Assumptions'!$F$13)-MAX(0,'Operating Forecast'!G9*(1+C$5)*('Assumptions'!$F$18-'Assumptions'!$F$13))*'Assumptions'!$F$12-'Operating Forecast'!G9*C$5*('Assumptions'!$C$31+'Assumptions'!$F$14)-'Operating Forecast'!G9*(1+C$5)*'Assumptions'!$C$43)/($B6-C$5)+'DCF'!C36)/(1+$B6)^'DCF'!G15+'Source Inputs'!$C$43)/'Source Inputs'!$C$40,0)</x:f>
        <x:v>253.10747141521858</x:v>
      </x:c>
      <x:c r="D6" s="240" t="n">
        <x:f aca="0">IF($B6&gt;D$5,('DCF'!C18/(1+$B6)^'DCF'!C16+'DCF'!D18/(1+$B6)^'DCF'!D16+'DCF'!E18/(1+$B6)^'DCF'!E16+'DCF'!F18/(1+$B6)^'DCF'!F16+'DCF'!G18/(1+$B6)^'DCF'!G16+(('Operating Forecast'!G9*(1+D$5)*('Assumptions'!$F$18-'Assumptions'!$F$13)-MAX(0,'Operating Forecast'!G9*(1+D$5)*('Assumptions'!$F$18-'Assumptions'!$F$13))*'Assumptions'!$F$12-'Operating Forecast'!G9*D$5*('Assumptions'!$C$31+'Assumptions'!$F$14)-'Operating Forecast'!G9*(1+D$5)*'Assumptions'!$C$43)/($B6-D$5)+'DCF'!C36)/(1+$B6)^'DCF'!G15+'Source Inputs'!$C$43)/'Source Inputs'!$C$40,0)</x:f>
        <x:v>265.3540982254879</x:v>
      </x:c>
      <x:c r="E6" s="240" t="n">
        <x:f aca="0">IF($B6&gt;E$5,('DCF'!C18/(1+$B6)^'DCF'!C16+'DCF'!D18/(1+$B6)^'DCF'!D16+'DCF'!E18/(1+$B6)^'DCF'!E16+'DCF'!F18/(1+$B6)^'DCF'!F16+'DCF'!G18/(1+$B6)^'DCF'!G16+(('Operating Forecast'!G9*(1+E$5)*('Assumptions'!$F$18-'Assumptions'!$F$13)-MAX(0,'Operating Forecast'!G9*(1+E$5)*('Assumptions'!$F$18-'Assumptions'!$F$13))*'Assumptions'!$F$12-'Operating Forecast'!G9*E$5*('Assumptions'!$C$31+'Assumptions'!$F$14)-'Operating Forecast'!G9*(1+E$5)*'Assumptions'!$C$43)/($B6-E$5)+'DCF'!C36)/(1+$B6)^'DCF'!G15+'Source Inputs'!$C$43)/'Source Inputs'!$C$40,0)</x:f>
        <x:v>279.31522344623784</x:v>
      </x:c>
      <x:c r="F6" s="240" t="n">
        <x:f aca="0">IF($B6&gt;F$5,('DCF'!C18/(1+$B6)^'DCF'!C16+'DCF'!D18/(1+$B6)^'DCF'!D16+'DCF'!E18/(1+$B6)^'DCF'!E16+'DCF'!F18/(1+$B6)^'DCF'!F16+'DCF'!G18/(1+$B6)^'DCF'!G16+(('Operating Forecast'!G9*(1+F$5)*('Assumptions'!$F$18-'Assumptions'!$F$13)-MAX(0,'Operating Forecast'!G9*(1+F$5)*('Assumptions'!$F$18-'Assumptions'!$F$13))*'Assumptions'!$F$12-'Operating Forecast'!G9*F$5*('Assumptions'!$C$31+'Assumptions'!$F$14)-'Operating Forecast'!G9*(1+F$5)*'Assumptions'!$C$43)/($B6-F$5)+'DCF'!C36)/(1+$B6)^'DCF'!G15+'Source Inputs'!$C$43)/'Source Inputs'!$C$40,0)</x:f>
        <x:v>295.3779847554188</x:v>
      </x:c>
      <x:c r="G6" s="240" t="n">
        <x:f aca="0">IF($B6&gt;G$5,('DCF'!C18/(1+$B6)^'DCF'!C16+'DCF'!D18/(1+$B6)^'DCF'!D16+'DCF'!E18/(1+$B6)^'DCF'!E16+'DCF'!F18/(1+$B6)^'DCF'!F16+'DCF'!G18/(1+$B6)^'DCF'!G16+(('Operating Forecast'!G9*(1+G$5)*('Assumptions'!$F$18-'Assumptions'!$F$13)-MAX(0,'Operating Forecast'!G9*(1+G$5)*('Assumptions'!$F$18-'Assumptions'!$F$13))*'Assumptions'!$F$12-'Operating Forecast'!G9*G$5*('Assumptions'!$C$31+'Assumptions'!$F$14)-'Operating Forecast'!G9*(1+G$5)*'Assumptions'!$C$43)/($B6-G$5)+'DCF'!C36)/(1+$B6)^'DCF'!G15+'Source Inputs'!$C$43)/'Source Inputs'!$C$40,0)</x:f>
        <x:v>314.05556214803005</x:v>
      </x:c>
      <x:c r="H6" s="90"/>
      <x:c r="I6" s="90"/>
      <x:c r="J6" s="90"/>
      <x:c r="K6" s="2"/>
      <x:c r="L6" s="2"/>
    </x:row>
    <x:row r="7" ht="21" hidden="0" customHeight="1">
      <x:c r="A7" s="90"/>
      <x:c r="B7" s="218" t="n">
        <x:f>'DCF'!C9+-0.015</x:f>
        <x:v>0.12142979390010757</x:v>
      </x:c>
      <x:c r="C7" s="240" t="n">
        <x:f aca="0">IF($B7&gt;C$5,('DCF'!C18/(1+$B7)^'DCF'!C16+'DCF'!D18/(1+$B7)^'DCF'!D16+'DCF'!E18/(1+$B7)^'DCF'!E16+'DCF'!F18/(1+$B7)^'DCF'!F16+'DCF'!G18/(1+$B7)^'DCF'!G16+(('Operating Forecast'!G9*(1+C$5)*('Assumptions'!$F$18-'Assumptions'!$F$13)-MAX(0,'Operating Forecast'!G9*(1+C$5)*('Assumptions'!$F$18-'Assumptions'!$F$13))*'Assumptions'!$F$12-'Operating Forecast'!G9*C$5*('Assumptions'!$C$31+'Assumptions'!$F$14)-'Operating Forecast'!G9*(1+C$5)*'Assumptions'!$C$43)/($B7-C$5)+'DCF'!C36)/(1+$B7)^'DCF'!G15+'Source Inputs'!$C$43)/'Source Inputs'!$C$40,0)</x:f>
        <x:v>212.94170819052042</x:v>
      </x:c>
      <x:c r="D7" s="240" t="n">
        <x:f aca="0">IF($B7&gt;D$5,('DCF'!C18/(1+$B7)^'DCF'!C16+'DCF'!D18/(1+$B7)^'DCF'!D16+'DCF'!E18/(1+$B7)^'DCF'!E16+'DCF'!F18/(1+$B7)^'DCF'!F16+'DCF'!G18/(1+$B7)^'DCF'!G16+(('Operating Forecast'!G9*(1+D$5)*('Assumptions'!$F$18-'Assumptions'!$F$13)-MAX(0,'Operating Forecast'!G9*(1+D$5)*('Assumptions'!$F$18-'Assumptions'!$F$13))*'Assumptions'!$F$12-'Operating Forecast'!G9*D$5*('Assumptions'!$C$31+'Assumptions'!$F$14)-'Operating Forecast'!G9*(1+D$5)*'Assumptions'!$C$43)/($B7-D$5)+'DCF'!C36)/(1+$B7)^'DCF'!G15+'Source Inputs'!$C$43)/'Source Inputs'!$C$40,0)</x:f>
        <x:v>221.09372050823677</x:v>
      </x:c>
      <x:c r="E7" s="240" t="n">
        <x:f aca="0">IF($B7&gt;E$5,('DCF'!C18/(1+$B7)^'DCF'!C16+'DCF'!D18/(1+$B7)^'DCF'!D16+'DCF'!E18/(1+$B7)^'DCF'!E16+'DCF'!F18/(1+$B7)^'DCF'!F16+'DCF'!G18/(1+$B7)^'DCF'!G16+(('Operating Forecast'!G9*(1+E$5)*('Assumptions'!$F$18-'Assumptions'!$F$13)-MAX(0,'Operating Forecast'!G9*(1+E$5)*('Assumptions'!$F$18-'Assumptions'!$F$13))*'Assumptions'!$F$12-'Operating Forecast'!G9*E$5*('Assumptions'!$C$31+'Assumptions'!$F$14)-'Operating Forecast'!G9*(1+E$5)*'Assumptions'!$C$43)/($B7-E$5)+'DCF'!C36)/(1+$B7)^'DCF'!G15+'Source Inputs'!$C$43)/'Source Inputs'!$C$40,0)</x:f>
        <x:v>230.1889275218861</x:v>
      </x:c>
      <x:c r="F7" s="240" t="n">
        <x:f aca="0">IF($B7&gt;F$5,('DCF'!C18/(1+$B7)^'DCF'!C16+'DCF'!D18/(1+$B7)^'DCF'!D16+'DCF'!E18/(1+$B7)^'DCF'!E16+'DCF'!F18/(1+$B7)^'DCF'!F16+'DCF'!G18/(1+$B7)^'DCF'!G16+(('Operating Forecast'!G9*(1+F$5)*('Assumptions'!$F$18-'Assumptions'!$F$13)-MAX(0,'Operating Forecast'!G9*(1+F$5)*('Assumptions'!$F$18-'Assumptions'!$F$13))*'Assumptions'!$F$12-'Operating Forecast'!G9*F$5*('Assumptions'!$C$31+'Assumptions'!$F$14)-'Operating Forecast'!G9*(1+F$5)*'Assumptions'!$C$43)/($B7-F$5)+'DCF'!C36)/(1+$B7)^'DCF'!G15+'Source Inputs'!$C$43)/'Source Inputs'!$C$40,0)</x:f>
        <x:v>240.40107301444243</x:v>
      </x:c>
      <x:c r="G7" s="240" t="n">
        <x:f aca="0">IF($B7&gt;G$5,('DCF'!C18/(1+$B7)^'DCF'!C16+'DCF'!D18/(1+$B7)^'DCF'!D16+'DCF'!E18/(1+$B7)^'DCF'!E16+'DCF'!F18/(1+$B7)^'DCF'!F16+'DCF'!G18/(1+$B7)^'DCF'!G16+(('Operating Forecast'!G9*(1+G$5)*('Assumptions'!$F$18-'Assumptions'!$F$13)-MAX(0,'Operating Forecast'!G9*(1+G$5)*('Assumptions'!$F$18-'Assumptions'!$F$13))*'Assumptions'!$F$12-'Operating Forecast'!G9*G$5*('Assumptions'!$C$31+'Assumptions'!$F$14)-'Operating Forecast'!G9*(1+G$5)*'Assumptions'!$C$43)/($B7-G$5)+'DCF'!C36)/(1+$B7)^'DCF'!G15+'Source Inputs'!$C$43)/'Source Inputs'!$C$40,0)</x:f>
        <x:v>251.94936570450443</x:v>
      </x:c>
      <x:c r="H7" s="90"/>
      <x:c r="I7" s="90"/>
      <x:c r="J7" s="90"/>
      <x:c r="K7" s="2"/>
      <x:c r="L7" s="2"/>
    </x:row>
    <x:row r="8" ht="21" hidden="0" customHeight="1">
      <x:c r="A8" s="90"/>
      <x:c r="B8" s="218" t="n">
        <x:f>'DCF'!C9+0</x:f>
        <x:v>0.13642979390010757</x:v>
      </x:c>
      <x:c r="C8" s="240" t="n">
        <x:f aca="0">IF($B8&gt;C$5,('DCF'!C18/(1+$B8)^'DCF'!C16+'DCF'!D18/(1+$B8)^'DCF'!D16+'DCF'!E18/(1+$B8)^'DCF'!E16+'DCF'!F18/(1+$B8)^'DCF'!F16+'DCF'!G18/(1+$B8)^'DCF'!G16+(('Operating Forecast'!G9*(1+C$5)*('Assumptions'!$F$18-'Assumptions'!$F$13)-MAX(0,'Operating Forecast'!G9*(1+C$5)*('Assumptions'!$F$18-'Assumptions'!$F$13))*'Assumptions'!$F$12-'Operating Forecast'!G9*C$5*('Assumptions'!$C$31+'Assumptions'!$F$14)-'Operating Forecast'!G9*(1+C$5)*'Assumptions'!$C$43)/($B8-C$5)+'DCF'!C36)/(1+$B8)^'DCF'!G15+'Source Inputs'!$C$43)/'Source Inputs'!$C$40,0)</x:f>
        <x:v>183.6888968409101</x:v>
      </x:c>
      <x:c r="D8" s="240" t="n">
        <x:f aca="0">IF($B8&gt;D$5,('DCF'!C18/(1+$B8)^'DCF'!C16+'DCF'!D18/(1+$B8)^'DCF'!D16+'DCF'!E18/(1+$B8)^'DCF'!E16+'DCF'!F18/(1+$B8)^'DCF'!F16+'DCF'!G18/(1+$B8)^'DCF'!G16+(('Operating Forecast'!G9*(1+D$5)*('Assumptions'!$F$18-'Assumptions'!$F$13)-MAX(0,'Operating Forecast'!G9*(1+D$5)*('Assumptions'!$F$18-'Assumptions'!$F$13))*'Assumptions'!$F$12-'Operating Forecast'!G9*D$5*('Assumptions'!$C$31+'Assumptions'!$F$14)-'Operating Forecast'!G9*(1+D$5)*'Assumptions'!$C$43)/($B8-D$5)+'DCF'!C36)/(1+$B8)^'DCF'!G15+'Source Inputs'!$C$43)/'Source Inputs'!$C$40,0)</x:f>
        <x:v>189.40818721817516</x:v>
      </x:c>
      <x:c r="E8" s="240" t="n">
        <x:f aca="0">IF($B8&gt;E$5,('DCF'!C18/(1+$B8)^'DCF'!C16+'DCF'!D18/(1+$B8)^'DCF'!D16+'DCF'!E18/(1+$B8)^'DCF'!E16+'DCF'!F18/(1+$B8)^'DCF'!F16+'DCF'!G18/(1+$B8)^'DCF'!G16+(('Operating Forecast'!G9*(1+E$5)*('Assumptions'!$F$18-'Assumptions'!$F$13)-MAX(0,'Operating Forecast'!G9*(1+E$5)*('Assumptions'!$F$18-'Assumptions'!$F$13))*'Assumptions'!$F$12-'Operating Forecast'!G9*E$5*('Assumptions'!$C$31+'Assumptions'!$F$14)-'Operating Forecast'!G9*(1+E$5)*'Assumptions'!$C$43)/($B8-E$5)+'DCF'!C36)/(1+$B8)^'DCF'!G15+'Source Inputs'!$C$43)/'Source Inputs'!$C$40,0)</x:f>
        <x:v>195.69134449858086</x:v>
      </x:c>
      <x:c r="F8" s="240" t="n">
        <x:f aca="0">IF($B8&gt;F$5,('DCF'!C18/(1+$B8)^'DCF'!C16+'DCF'!D18/(1+$B8)^'DCF'!D16+'DCF'!E18/(1+$B8)^'DCF'!E16+'DCF'!F18/(1+$B8)^'DCF'!F16+'DCF'!G18/(1+$B8)^'DCF'!G16+(('Operating Forecast'!G9*(1+F$5)*('Assumptions'!$F$18-'Assumptions'!$F$13)-MAX(0,'Operating Forecast'!G9*(1+F$5)*('Assumptions'!$F$18-'Assumptions'!$F$13))*'Assumptions'!$F$12-'Operating Forecast'!G9*F$5*('Assumptions'!$C$31+'Assumptions'!$F$14)-'Operating Forecast'!G9*(1+F$5)*'Assumptions'!$C$43)/($B8-F$5)+'DCF'!C36)/(1+$B8)^'DCF'!G15+'Source Inputs'!$C$43)/'Source Inputs'!$C$40,0)</x:f>
        <x:v>202.6260801995435</x:v>
      </x:c>
      <x:c r="G8" s="240" t="n">
        <x:f aca="0">IF($B8&gt;G$5,('DCF'!C18/(1+$B8)^'DCF'!C16+'DCF'!D18/(1+$B8)^'DCF'!D16+'DCF'!E18/(1+$B8)^'DCF'!E16+'DCF'!F18/(1+$B8)^'DCF'!F16+'DCF'!G18/(1+$B8)^'DCF'!G16+(('Operating Forecast'!G9*(1+G$5)*('Assumptions'!$F$18-'Assumptions'!$F$13)-MAX(0,'Operating Forecast'!G9*(1+G$5)*('Assumptions'!$F$18-'Assumptions'!$F$13))*'Assumptions'!$F$12-'Operating Forecast'!G9*G$5*('Assumptions'!$C$31+'Assumptions'!$F$14)-'Operating Forecast'!G9*(1+G$5)*'Assumptions'!$C$43)/($B8-G$5)+'DCF'!C36)/(1+$B8)^'DCF'!G15+'Source Inputs'!$C$43)/'Source Inputs'!$C$40,0)</x:f>
        <x:v>210.31929247637365</x:v>
      </x:c>
      <x:c r="H8" s="90"/>
      <x:c r="I8" s="90"/>
      <x:c r="J8" s="90"/>
      <x:c r="K8" s="2"/>
      <x:c r="L8" s="2"/>
    </x:row>
    <x:row r="9" ht="21" hidden="0" customHeight="1">
      <x:c r="A9" s="90"/>
      <x:c r="B9" s="218" t="n">
        <x:f>'DCF'!C9+0.015</x:f>
        <x:v>0.15142979390010758</x:v>
      </x:c>
      <x:c r="C9" s="240" t="n">
        <x:f aca="0">IF($B9&gt;C$5,('DCF'!C18/(1+$B9)^'DCF'!C16+'DCF'!D18/(1+$B9)^'DCF'!D16+'DCF'!E18/(1+$B9)^'DCF'!E16+'DCF'!F18/(1+$B9)^'DCF'!F16+'DCF'!G18/(1+$B9)^'DCF'!G16+(('Operating Forecast'!G9*(1+C$5)*('Assumptions'!$F$18-'Assumptions'!$F$13)-MAX(0,'Operating Forecast'!G9*(1+C$5)*('Assumptions'!$F$18-'Assumptions'!$F$13))*'Assumptions'!$F$12-'Operating Forecast'!G9*C$5*('Assumptions'!$C$31+'Assumptions'!$F$14)-'Operating Forecast'!G9*(1+C$5)*'Assumptions'!$C$43)/($B9-C$5)+'DCF'!C36)/(1+$B9)^'DCF'!G15+'Source Inputs'!$C$43)/'Source Inputs'!$C$40,0)</x:f>
        <x:v>161.4566428296062</x:v>
      </x:c>
      <x:c r="D9" s="240" t="n">
        <x:f aca="0">IF($B9&gt;D$5,('DCF'!C18/(1+$B9)^'DCF'!C16+'DCF'!D18/(1+$B9)^'DCF'!D16+'DCF'!E18/(1+$B9)^'DCF'!E16+'DCF'!F18/(1+$B9)^'DCF'!F16+'DCF'!G18/(1+$B9)^'DCF'!G16+(('Operating Forecast'!G9*(1+D$5)*('Assumptions'!$F$18-'Assumptions'!$F$13)-MAX(0,'Operating Forecast'!G9*(1+D$5)*('Assumptions'!$F$18-'Assumptions'!$F$13))*'Assumptions'!$F$12-'Operating Forecast'!G9*D$5*('Assumptions'!$C$31+'Assumptions'!$F$14)-'Operating Forecast'!G9*(1+D$5)*'Assumptions'!$C$43)/($B9-D$5)+'DCF'!C36)/(1+$B9)^'DCF'!G15+'Source Inputs'!$C$43)/'Source Inputs'!$C$40,0)</x:f>
        <x:v>165.62925023842755</x:v>
      </x:c>
      <x:c r="E9" s="240" t="n">
        <x:f aca="0">IF($B9&gt;E$5,('DCF'!C18/(1+$B9)^'DCF'!C16+'DCF'!D18/(1+$B9)^'DCF'!D16+'DCF'!E18/(1+$B9)^'DCF'!E16+'DCF'!F18/(1+$B9)^'DCF'!F16+'DCF'!G18/(1+$B9)^'DCF'!G16+(('Operating Forecast'!G9*(1+E$5)*('Assumptions'!$F$18-'Assumptions'!$F$13)-MAX(0,'Operating Forecast'!G9*(1+E$5)*('Assumptions'!$F$18-'Assumptions'!$F$13))*'Assumptions'!$F$12-'Operating Forecast'!G9*E$5*('Assumptions'!$C$31+'Assumptions'!$F$14)-'Operating Forecast'!G9*(1+E$5)*'Assumptions'!$C$43)/($B9-E$5)+'DCF'!C36)/(1+$B9)^'DCF'!G15+'Source Inputs'!$C$43)/'Source Inputs'!$C$40,0)</x:f>
        <x:v>170.1602373427761</x:v>
      </x:c>
      <x:c r="F9" s="240" t="n">
        <x:f aca="0">IF($B9&gt;F$5,('DCF'!C18/(1+$B9)^'DCF'!C16+'DCF'!D18/(1+$B9)^'DCF'!D16+'DCF'!E18/(1+$B9)^'DCF'!E16+'DCF'!F18/(1+$B9)^'DCF'!F16+'DCF'!G18/(1+$B9)^'DCF'!G16+(('Operating Forecast'!G9*(1+F$5)*('Assumptions'!$F$18-'Assumptions'!$F$13)-MAX(0,'Operating Forecast'!G9*(1+F$5)*('Assumptions'!$F$18-'Assumptions'!$F$13))*'Assumptions'!$F$12-'Operating Forecast'!G9*F$5*('Assumptions'!$C$31+'Assumptions'!$F$14)-'Operating Forecast'!G9*(1+F$5)*'Assumptions'!$C$43)/($B9-F$5)+'DCF'!C36)/(1+$B9)^'DCF'!G15+'Source Inputs'!$C$43)/'Source Inputs'!$C$40,0)</x:f>
        <x:v>175.0978470339357</x:v>
      </x:c>
      <x:c r="G9" s="240" t="n">
        <x:f aca="0">IF($B9&gt;G$5,('DCF'!C18/(1+$B9)^'DCF'!C16+'DCF'!D18/(1+$B9)^'DCF'!D16+'DCF'!E18/(1+$B9)^'DCF'!E16+'DCF'!F18/(1+$B9)^'DCF'!F16+'DCF'!G18/(1+$B9)^'DCF'!G16+(('Operating Forecast'!G9*(1+G$5)*('Assumptions'!$F$18-'Assumptions'!$F$13)-MAX(0,'Operating Forecast'!G9*(1+G$5)*('Assumptions'!$F$18-'Assumptions'!$F$13))*'Assumptions'!$F$12-'Operating Forecast'!G9*G$5*('Assumptions'!$C$31+'Assumptions'!$F$14)-'Operating Forecast'!G9*(1+G$5)*'Assumptions'!$C$43)/($B9-G$5)+'DCF'!C36)/(1+$B9)^'DCF'!G15+'Source Inputs'!$C$43)/'Source Inputs'!$C$40,0)</x:f>
        <x:v>180.49938787728695</x:v>
      </x:c>
      <x:c r="H9" s="90"/>
      <x:c r="I9" s="90"/>
      <x:c r="J9" s="90"/>
      <x:c r="K9" s="2"/>
      <x:c r="L9" s="2"/>
    </x:row>
    <x:row r="10" ht="21" hidden="0" customHeight="1">
      <x:c r="A10" s="90"/>
      <x:c r="B10" s="218" t="n">
        <x:f>'DCF'!C9+0.03</x:f>
        <x:v>0.16642979390010756</x:v>
      </x:c>
      <x:c r="C10" s="240" t="n">
        <x:f aca="0">IF($B10&gt;C$5,('DCF'!C18/(1+$B10)^'DCF'!C16+'DCF'!D18/(1+$B10)^'DCF'!D16+'DCF'!E18/(1+$B10)^'DCF'!E16+'DCF'!F18/(1+$B10)^'DCF'!F16+'DCF'!G18/(1+$B10)^'DCF'!G16+(('Operating Forecast'!G9*(1+C$5)*('Assumptions'!$F$18-'Assumptions'!$F$13)-MAX(0,'Operating Forecast'!G9*(1+C$5)*('Assumptions'!$F$18-'Assumptions'!$F$13))*'Assumptions'!$F$12-'Operating Forecast'!G9*C$5*('Assumptions'!$C$31+'Assumptions'!$F$14)-'Operating Forecast'!G9*(1+C$5)*'Assumptions'!$C$43)/($B10-C$5)+'DCF'!C36)/(1+$B10)^'DCF'!G15+'Source Inputs'!$C$43)/'Source Inputs'!$C$40,0)</x:f>
        <x:v>144.00463227377676</x:v>
      </x:c>
      <x:c r="D10" s="240" t="n">
        <x:f aca="0">IF($B10&gt;D$5,('DCF'!C18/(1+$B10)^'DCF'!C16+'DCF'!D18/(1+$B10)^'DCF'!D16+'DCF'!E18/(1+$B10)^'DCF'!E16+'DCF'!F18/(1+$B10)^'DCF'!F16+'DCF'!G18/(1+$B10)^'DCF'!G16+(('Operating Forecast'!G9*(1+D$5)*('Assumptions'!$F$18-'Assumptions'!$F$13)-MAX(0,'Operating Forecast'!G9*(1+D$5)*('Assumptions'!$F$18-'Assumptions'!$F$13))*'Assumptions'!$F$12-'Operating Forecast'!G9*D$5*('Assumptions'!$C$31+'Assumptions'!$F$14)-'Operating Forecast'!G9*(1+D$5)*'Assumptions'!$C$43)/($B10-D$5)+'DCF'!C36)/(1+$B10)^'DCF'!G15+'Source Inputs'!$C$43)/'Source Inputs'!$C$40,0)</x:f>
        <x:v>147.14247818991794</x:v>
      </x:c>
      <x:c r="E10" s="240" t="n">
        <x:f aca="0">IF($B10&gt;E$5,('DCF'!C18/(1+$B10)^'DCF'!C16+'DCF'!D18/(1+$B10)^'DCF'!D16+'DCF'!E18/(1+$B10)^'DCF'!E16+'DCF'!F18/(1+$B10)^'DCF'!F16+'DCF'!G18/(1+$B10)^'DCF'!G16+(('Operating Forecast'!G9*(1+E$5)*('Assumptions'!$F$18-'Assumptions'!$F$13)-MAX(0,'Operating Forecast'!G9*(1+E$5)*('Assumptions'!$F$18-'Assumptions'!$F$13))*'Assumptions'!$F$12-'Operating Forecast'!G9*E$5*('Assumptions'!$C$31+'Assumptions'!$F$14)-'Operating Forecast'!G9*(1+E$5)*'Assumptions'!$C$43)/($B10-E$5)+'DCF'!C36)/(1+$B10)^'DCF'!G15+'Source Inputs'!$C$43)/'Source Inputs'!$C$40,0)</x:f>
        <x:v>150.51907103116852</x:v>
      </x:c>
      <x:c r="F10" s="240" t="n">
        <x:f aca="0">IF($B10&gt;F$5,('DCF'!C18/(1+$B10)^'DCF'!C16+'DCF'!D18/(1+$B10)^'DCF'!D16+'DCF'!E18/(1+$B10)^'DCF'!E16+'DCF'!F18/(1+$B10)^'DCF'!F16+'DCF'!G18/(1+$B10)^'DCF'!G16+(('Operating Forecast'!G9*(1+F$5)*('Assumptions'!$F$18-'Assumptions'!$F$13)-MAX(0,'Operating Forecast'!G9*(1+F$5)*('Assumptions'!$F$18-'Assumptions'!$F$13))*'Assumptions'!$F$12-'Operating Forecast'!G9*F$5*('Assumptions'!$C$31+'Assumptions'!$F$14)-'Operating Forecast'!G9*(1+F$5)*'Assumptions'!$C$43)/($B10-F$5)+'DCF'!C36)/(1+$B10)^'DCF'!G15+'Source Inputs'!$C$43)/'Source Inputs'!$C$40,0)</x:f>
        <x:v>154.16273643000932</x:v>
      </x:c>
      <x:c r="G10" s="240" t="n">
        <x:f aca="0">IF($B10&gt;G$5,('DCF'!C18/(1+$B10)^'DCF'!C16+'DCF'!D18/(1+$B10)^'DCF'!D16+'DCF'!E18/(1+$B10)^'DCF'!E16+'DCF'!F18/(1+$B10)^'DCF'!F16+'DCF'!G18/(1+$B10)^'DCF'!G16+(('Operating Forecast'!G9*(1+G$5)*('Assumptions'!$F$18-'Assumptions'!$F$13)-MAX(0,'Operating Forecast'!G9*(1+G$5)*('Assumptions'!$F$18-'Assumptions'!$F$13))*'Assumptions'!$F$12-'Operating Forecast'!G9*G$5*('Assumptions'!$C$31+'Assumptions'!$F$14)-'Operating Forecast'!G9*(1+G$5)*'Assumptions'!$C$43)/($B10-G$5)+'DCF'!C36)/(1+$B10)^'DCF'!G15+'Source Inputs'!$C$43)/'Source Inputs'!$C$40,0)</x:f>
        <x:v>158.10646537024408</x:v>
      </x:c>
      <x:c r="H10" s="90"/>
      <x:c r="I10" s="90"/>
      <x:c r="J10" s="90"/>
      <x:c r="K10" s="2"/>
      <x:c r="L10" s="2"/>
    </x:row>
    <x:row r="11" ht="21" hidden="0" customHeight="1">
      <x:c r="A11" s="90"/>
      <x:c r="B11" s="90"/>
      <x:c r="C11" s="90"/>
      <x:c r="D11" s="90"/>
      <x:c r="E11" s="90"/>
      <x:c r="F11" s="90"/>
      <x:c r="G11" s="90"/>
      <x:c r="H11" s="90"/>
      <x:c r="I11" s="90"/>
      <x:c r="J11" s="90"/>
      <x:c r="K11" s="2"/>
      <x:c r="L11" s="2"/>
    </x:row>
    <x:row r="12" ht="21" hidden="0" customHeight="1">
      <x:c r="A12" s="115"/>
      <x:c r="B12" s="115"/>
      <x:c r="C12" s="115"/>
      <x:c r="D12" s="115"/>
      <x:c r="E12" s="115"/>
      <x:c r="F12" s="115"/>
      <x:c r="G12" s="115"/>
      <x:c r="H12" s="115"/>
      <x:c r="I12" s="115"/>
      <x:c r="J12" s="115"/>
      <x:c r="K12" s="2"/>
      <x:c r="L12" s="2"/>
    </x:row>
    <x:row r="13" ht="21" hidden="0" customHeight="1">
      <x:c r="A13" s="90"/>
      <x:c r="B13" s="118"/>
      <x:c r="C13" s="127"/>
      <x:c r="D13" s="127"/>
      <x:c r="E13" s="127"/>
      <x:c r="F13" s="127"/>
      <x:c r="G13" s="127"/>
      <x:c r="H13" s="90"/>
      <x:c r="I13" s="90"/>
      <x:c r="J13" s="90"/>
      <x:c r="K13" s="2"/>
      <x:c r="L13" s="2"/>
    </x:row>
    <x:row r="14" ht="21" hidden="0" customHeight="1">
      <x:c r="A14" s="90"/>
      <x:c r="B14" s="123"/>
      <x:c r="C14" s="191">
        <x:f aca="0"/>
      </x:c>
      <x:c r="D14" s="191">
        <x:f aca="0"/>
      </x:c>
      <x:c r="E14" s="191">
        <x:f aca="0"/>
      </x:c>
      <x:c r="F14" s="191">
        <x:f aca="0"/>
      </x:c>
      <x:c r="G14" s="191">
        <x:f aca="0"/>
      </x:c>
      <x:c r="H14" s="90"/>
      <x:c r="I14" s="90"/>
      <x:c r="J14" s="90"/>
      <x:c r="K14" s="2"/>
      <x:c r="L14" s="2"/>
    </x:row>
    <x:row r="15" ht="21" hidden="0" customHeight="1">
      <x:c r="A15" s="90"/>
      <x:c r="B15" s="123" t="str">
        <x:v>WACC / exit EBITDA multiple</x:v>
      </x:c>
      <x:c r="C15" s="219" t="n">
        <x:f aca="0">'DCF'!C11+-4</x:f>
        <x:v>11</x:v>
      </x:c>
      <x:c r="D15" s="219" t="n">
        <x:f aca="0">'DCF'!C11+-2</x:f>
        <x:v>13</x:v>
      </x:c>
      <x:c r="E15" s="219" t="n">
        <x:f aca="0">'DCF'!C11+0</x:f>
        <x:v>15</x:v>
      </x:c>
      <x:c r="F15" s="219" t="n">
        <x:f aca="0">'DCF'!C11+2</x:f>
        <x:v>17</x:v>
      </x:c>
      <x:c r="G15" s="219" t="n">
        <x:f aca="0">'DCF'!C11+4</x:f>
        <x:v>19</x:v>
      </x:c>
      <x:c r="H15" s="90"/>
      <x:c r="I15" s="90"/>
      <x:c r="J15" s="90"/>
      <x:c r="K15" s="2"/>
      <x:c r="L15" s="2"/>
    </x:row>
    <x:row r="16" ht="21" hidden="0" customHeight="1">
      <x:c r="A16" s="90"/>
      <x:c r="B16" s="218" t="n">
        <x:f>'DCF'!C9+-0.03</x:f>
        <x:v>0.10642979390010757</x:v>
      </x:c>
      <x:c r="C16" s="240" t="n">
        <x:f aca="0">('DCF'!C18/(1+$B16)^'DCF'!C16+'DCF'!D18/(1+$B16)^'DCF'!D16+'DCF'!E18/(1+$B16)^'DCF'!E16+'DCF'!F18/(1+$B16)^'DCF'!F16+'DCF'!G18/(1+$B16)^'DCF'!G16+(C$15*'DCF'!C50+'DCF'!C36)/(1+$B16)^'DCF'!G15+'Source Inputs'!$C$43)/'Source Inputs'!$C$40</x:f>
        <x:v>279.03661613707396</x:v>
      </x:c>
      <x:c r="D16" s="240" t="n">
        <x:f aca="0">('DCF'!C18/(1+$B16)^'DCF'!C16+'DCF'!D18/(1+$B16)^'DCF'!D16+'DCF'!E18/(1+$B16)^'DCF'!E16+'DCF'!F18/(1+$B16)^'DCF'!F16+'DCF'!G18/(1+$B16)^'DCF'!G16+(D$15*'DCF'!C50+'DCF'!C36)/(1+$B16)^'DCF'!G15+'Source Inputs'!$C$43)/'Source Inputs'!$C$40</x:f>
        <x:v>317.6950788092405</x:v>
      </x:c>
      <x:c r="E16" s="240" t="n">
        <x:f aca="0">('DCF'!C18/(1+$B16)^'DCF'!C16+'DCF'!D18/(1+$B16)^'DCF'!D16+'DCF'!E18/(1+$B16)^'DCF'!E16+'DCF'!F18/(1+$B16)^'DCF'!F16+'DCF'!G18/(1+$B16)^'DCF'!G16+(E$15*'DCF'!C50+'DCF'!C36)/(1+$B16)^'DCF'!G15+'Source Inputs'!$C$43)/'Source Inputs'!$C$40</x:f>
        <x:v>356.353541481407</x:v>
      </x:c>
      <x:c r="F16" s="240" t="n">
        <x:f aca="0">('DCF'!C18/(1+$B16)^'DCF'!C16+'DCF'!D18/(1+$B16)^'DCF'!D16+'DCF'!E18/(1+$B16)^'DCF'!E16+'DCF'!F18/(1+$B16)^'DCF'!F16+'DCF'!G18/(1+$B16)^'DCF'!G16+(F$15*'DCF'!C50+'DCF'!C36)/(1+$B16)^'DCF'!G15+'Source Inputs'!$C$43)/'Source Inputs'!$C$40</x:f>
        <x:v>395.01200415357346</x:v>
      </x:c>
      <x:c r="G16" s="240" t="n">
        <x:f aca="0">('DCF'!C18/(1+$B16)^'DCF'!C16+'DCF'!D18/(1+$B16)^'DCF'!D16+'DCF'!E18/(1+$B16)^'DCF'!E16+'DCF'!F18/(1+$B16)^'DCF'!F16+'DCF'!G18/(1+$B16)^'DCF'!G16+(G$15*'DCF'!C50+'DCF'!C36)/(1+$B16)^'DCF'!G15+'Source Inputs'!$C$43)/'Source Inputs'!$C$40</x:f>
        <x:v>433.67046682574</x:v>
      </x:c>
      <x:c r="H16" s="90"/>
      <x:c r="I16" s="90"/>
      <x:c r="J16" s="90"/>
      <x:c r="K16" s="2"/>
      <x:c r="L16" s="2"/>
    </x:row>
    <x:row r="17" ht="21" hidden="0" customHeight="1">
      <x:c r="A17" s="90"/>
      <x:c r="B17" s="218" t="n">
        <x:f>'DCF'!C9+-0.015</x:f>
        <x:v>0.12142979390010757</x:v>
      </x:c>
      <x:c r="C17" s="240" t="n">
        <x:f aca="0">('DCF'!C18/(1+$B17)^'DCF'!C16+'DCF'!D18/(1+$B17)^'DCF'!D16+'DCF'!E18/(1+$B17)^'DCF'!E16+'DCF'!F18/(1+$B17)^'DCF'!F16+'DCF'!G18/(1+$B17)^'DCF'!G16+(C$15*'DCF'!C50+'DCF'!C36)/(1+$B17)^'DCF'!G15+'Source Inputs'!$C$43)/'Source Inputs'!$C$40</x:f>
        <x:v>264.75105369373154</x:v>
      </x:c>
      <x:c r="D17" s="240" t="n">
        <x:f aca="0">('DCF'!C18/(1+$B17)^'DCF'!C16+'DCF'!D18/(1+$B17)^'DCF'!D16+'DCF'!E18/(1+$B17)^'DCF'!E16+'DCF'!F18/(1+$B17)^'DCF'!F16+'DCF'!G18/(1+$B17)^'DCF'!G16+(D$15*'DCF'!C50+'DCF'!C36)/(1+$B17)^'DCF'!G15+'Source Inputs'!$C$43)/'Source Inputs'!$C$40</x:f>
        <x:v>301.1868611006569</x:v>
      </x:c>
      <x:c r="E17" s="240" t="n">
        <x:f aca="0">('DCF'!C18/(1+$B17)^'DCF'!C16+'DCF'!D18/(1+$B17)^'DCF'!D16+'DCF'!E18/(1+$B17)^'DCF'!E16+'DCF'!F18/(1+$B17)^'DCF'!F16+'DCF'!G18/(1+$B17)^'DCF'!G16+(E$15*'DCF'!C50+'DCF'!C36)/(1+$B17)^'DCF'!G15+'Source Inputs'!$C$43)/'Source Inputs'!$C$40</x:f>
        <x:v>337.62266850758226</x:v>
      </x:c>
      <x:c r="F17" s="240" t="n">
        <x:f aca="0">('DCF'!C18/(1+$B17)^'DCF'!C16+'DCF'!D18/(1+$B17)^'DCF'!D16+'DCF'!E18/(1+$B17)^'DCF'!E16+'DCF'!F18/(1+$B17)^'DCF'!F16+'DCF'!G18/(1+$B17)^'DCF'!G16+(F$15*'DCF'!C50+'DCF'!C36)/(1+$B17)^'DCF'!G15+'Source Inputs'!$C$43)/'Source Inputs'!$C$40</x:f>
        <x:v>374.05847591450765</x:v>
      </x:c>
      <x:c r="G17" s="240" t="n">
        <x:f aca="0">('DCF'!C18/(1+$B17)^'DCF'!C16+'DCF'!D18/(1+$B17)^'DCF'!D16+'DCF'!E18/(1+$B17)^'DCF'!E16+'DCF'!F18/(1+$B17)^'DCF'!F16+'DCF'!G18/(1+$B17)^'DCF'!G16+(G$15*'DCF'!C50+'DCF'!C36)/(1+$B17)^'DCF'!G15+'Source Inputs'!$C$43)/'Source Inputs'!$C$40</x:f>
        <x:v>410.49428332143304</x:v>
      </x:c>
      <x:c r="H17" s="90"/>
      <x:c r="I17" s="90"/>
      <x:c r="J17" s="90"/>
      <x:c r="K17" s="2"/>
      <x:c r="L17" s="2"/>
    </x:row>
    <x:row r="18" ht="21" hidden="0" customHeight="1">
      <x:c r="A18" s="90"/>
      <x:c r="B18" s="218" t="n">
        <x:f>'DCF'!C9+0</x:f>
        <x:v>0.13642979390010757</x:v>
      </x:c>
      <x:c r="C18" s="240" t="n">
        <x:f aca="0">('DCF'!C18/(1+$B18)^'DCF'!C16+'DCF'!D18/(1+$B18)^'DCF'!D16+'DCF'!E18/(1+$B18)^'DCF'!E16+'DCF'!F18/(1+$B18)^'DCF'!F16+'DCF'!G18/(1+$B18)^'DCF'!G16+(C$15*'DCF'!C50+'DCF'!C36)/(1+$B18)^'DCF'!G15+'Source Inputs'!$C$43)/'Source Inputs'!$C$40</x:f>
        <x:v>251.42470555424913</x:v>
      </x:c>
      <x:c r="D18" s="240" t="n">
        <x:f aca="0">('DCF'!C18/(1+$B18)^'DCF'!C16+'DCF'!D18/(1+$B18)^'DCF'!D16+'DCF'!E18/(1+$B18)^'DCF'!E16+'DCF'!F18/(1+$B18)^'DCF'!F16+'DCF'!G18/(1+$B18)^'DCF'!G16+(D$15*'DCF'!C50+'DCF'!C36)/(1+$B18)^'DCF'!G15+'Source Inputs'!$C$43)/'Source Inputs'!$C$40</x:f>
        <x:v>285.79267828591054</x:v>
      </x:c>
      <x:c r="E18" s="240" t="n">
        <x:f aca="0">('DCF'!C18/(1+$B18)^'DCF'!C16+'DCF'!D18/(1+$B18)^'DCF'!D16+'DCF'!E18/(1+$B18)^'DCF'!E16+'DCF'!F18/(1+$B18)^'DCF'!F16+'DCF'!G18/(1+$B18)^'DCF'!G16+(E$15*'DCF'!C50+'DCF'!C36)/(1+$B18)^'DCF'!G15+'Source Inputs'!$C$43)/'Source Inputs'!$C$40</x:f>
        <x:v>320.16065101757187</x:v>
      </x:c>
      <x:c r="F18" s="240" t="n">
        <x:f aca="0">('DCF'!C18/(1+$B18)^'DCF'!C16+'DCF'!D18/(1+$B18)^'DCF'!D16+'DCF'!E18/(1+$B18)^'DCF'!E16+'DCF'!F18/(1+$B18)^'DCF'!F16+'DCF'!G18/(1+$B18)^'DCF'!G16+(F$15*'DCF'!C50+'DCF'!C36)/(1+$B18)^'DCF'!G15+'Source Inputs'!$C$43)/'Source Inputs'!$C$40</x:f>
        <x:v>354.5286237492333</x:v>
      </x:c>
      <x:c r="G18" s="240" t="n">
        <x:f aca="0">('DCF'!C18/(1+$B18)^'DCF'!C16+'DCF'!D18/(1+$B18)^'DCF'!D16+'DCF'!E18/(1+$B18)^'DCF'!E16+'DCF'!F18/(1+$B18)^'DCF'!F16+'DCF'!G18/(1+$B18)^'DCF'!G16+(G$15*'DCF'!C50+'DCF'!C36)/(1+$B18)^'DCF'!G15+'Source Inputs'!$C$43)/'Source Inputs'!$C$40</x:f>
        <x:v>388.89659648089463</x:v>
      </x:c>
      <x:c r="H18" s="90"/>
      <x:c r="I18" s="90"/>
      <x:c r="J18" s="90"/>
      <x:c r="K18" s="2"/>
      <x:c r="L18" s="2"/>
    </x:row>
    <x:row r="19" ht="21" hidden="0" customHeight="1">
      <x:c r="A19" s="90"/>
      <x:c r="B19" s="245" t="n">
        <x:f>'DCF'!C9+0.015</x:f>
        <x:v>0.15142979390010758</x:v>
      </x:c>
      <x:c r="C19" s="246" t="n">
        <x:f>('DCF'!C18/(1+$B19)^'DCF'!C16+'DCF'!D18/(1+$B19)^'DCF'!D16+'DCF'!E18/(1+$B19)^'DCF'!E16+'DCF'!F18/(1+$B19)^'DCF'!F16+'DCF'!G18/(1+$B19)^'DCF'!G16+(C$15*'DCF'!C50+'DCF'!C36)/(1+$B19)^'DCF'!G15+'Source Inputs'!$C$43)/'Source Inputs'!$C$40</x:f>
        <x:v>238.98092288907176</x:v>
      </x:c>
      <x:c r="D19" s="246" t="n">
        <x:f>('DCF'!C18/(1+$B19)^'DCF'!C16+'DCF'!D18/(1+$B19)^'DCF'!D16+'DCF'!E18/(1+$B19)^'DCF'!E16+'DCF'!F18/(1+$B19)^'DCF'!F16+'DCF'!G18/(1+$B19)^'DCF'!G16+(D$15*'DCF'!C50+'DCF'!C36)/(1+$B19)^'DCF'!G15+'Source Inputs'!$C$43)/'Source Inputs'!$C$40</x:f>
        <x:v>271.42326276588665</x:v>
      </x:c>
      <x:c r="E19" s="246" t="n">
        <x:f>('DCF'!C18/(1+$B19)^'DCF'!C16+'DCF'!D18/(1+$B19)^'DCF'!D16+'DCF'!E18/(1+$B19)^'DCF'!E16+'DCF'!F18/(1+$B19)^'DCF'!F16+'DCF'!G18/(1+$B19)^'DCF'!G16+(E$15*'DCF'!C50+'DCF'!C36)/(1+$B19)^'DCF'!G15+'Source Inputs'!$C$43)/'Source Inputs'!$C$40</x:f>
        <x:v>303.8656026427016</x:v>
      </x:c>
      <x:c r="F19" s="246" t="n">
        <x:f>('DCF'!C18/(1+$B19)^'DCF'!C16+'DCF'!D18/(1+$B19)^'DCF'!D16+'DCF'!E18/(1+$B19)^'DCF'!E16+'DCF'!F18/(1+$B19)^'DCF'!F16+'DCF'!G18/(1+$B19)^'DCF'!G16+(F$15*'DCF'!C50+'DCF'!C36)/(1+$B19)^'DCF'!G15+'Source Inputs'!$C$43)/'Source Inputs'!$C$40</x:f>
        <x:v>336.30794251951653</x:v>
      </x:c>
      <x:c r="G19" s="246" t="n">
        <x:f>('DCF'!C18/(1+$B19)^'DCF'!C16+'DCF'!D18/(1+$B19)^'DCF'!D16+'DCF'!E18/(1+$B19)^'DCF'!E16+'DCF'!F18/(1+$B19)^'DCF'!F16+'DCF'!G18/(1+$B19)^'DCF'!G16+(G$15*'DCF'!C50+'DCF'!C36)/(1+$B19)^'DCF'!G15+'Source Inputs'!$C$43)/'Source Inputs'!$C$40</x:f>
        <x:v>368.75028239633133</x:v>
      </x:c>
      <x:c r="H19" s="90"/>
      <x:c r="I19" s="90"/>
      <x:c r="J19" s="90"/>
      <x:c r="K19" s="2"/>
      <x:c r="L19" s="2"/>
    </x:row>
    <x:row r="20" ht="21" hidden="0" customHeight="1">
      <x:c r="A20" s="90"/>
      <x:c r="B20" s="248" t="n">
        <x:f>'DCF'!C9+0.03</x:f>
        <x:v>0.16642979390010756</x:v>
      </x:c>
      <x:c r="C20" s="246" t="n">
        <x:f>('DCF'!C18/(1+$B20)^'DCF'!C16+'DCF'!D18/(1+$B20)^'DCF'!D16+'DCF'!E18/(1+$B20)^'DCF'!E16+'DCF'!F18/(1+$B20)^'DCF'!F16+'DCF'!G18/(1+$B20)^'DCF'!G16+(C$15*'DCF'!C50+'DCF'!C36)/(1+$B20)^'DCF'!G15+'Source Inputs'!$C$43)/'Source Inputs'!$C$40</x:f>
        <x:v>227.35010015431578</x:v>
      </x:c>
      <x:c r="D20" s="246" t="n">
        <x:f>('DCF'!C18/(1+$B20)^'DCF'!C16+'DCF'!D18/(1+$B20)^'DCF'!D16+'DCF'!E18/(1+$B20)^'DCF'!E16+'DCF'!F18/(1+$B20)^'DCF'!F16+'DCF'!G18/(1+$B20)^'DCF'!G16+(D$15*'DCF'!C50+'DCF'!C36)/(1+$B20)^'DCF'!G15+'Source Inputs'!$C$43)/'Source Inputs'!$C$40</x:f>
        <x:v>257.99756448768375</x:v>
      </x:c>
      <x:c r="E20" s="246" t="n">
        <x:f>('DCF'!C18/(1+$B20)^'DCF'!C16+'DCF'!D18/(1+$B20)^'DCF'!D16+'DCF'!E18/(1+$B20)^'DCF'!E16+'DCF'!F18/(1+$B20)^'DCF'!F16+'DCF'!G18/(1+$B20)^'DCF'!G16+(E$15*'DCF'!C50+'DCF'!C36)/(1+$B20)^'DCF'!G15+'Source Inputs'!$C$43)/'Source Inputs'!$C$40</x:f>
        <x:v>288.6450288210516</x:v>
      </x:c>
      <x:c r="F20" s="246" t="n">
        <x:f>('DCF'!C18/(1+$B20)^'DCF'!C16+'DCF'!D18/(1+$B20)^'DCF'!D16+'DCF'!E18/(1+$B20)^'DCF'!E16+'DCF'!F18/(1+$B20)^'DCF'!F16+'DCF'!G18/(1+$B20)^'DCF'!G16+(F$15*'DCF'!C50+'DCF'!C36)/(1+$B20)^'DCF'!G15+'Source Inputs'!$C$43)/'Source Inputs'!$C$40</x:f>
        <x:v>319.29249315441956</x:v>
      </x:c>
      <x:c r="G20" s="246" t="n">
        <x:f>('DCF'!C18/(1+$B20)^'DCF'!C16+'DCF'!D18/(1+$B20)^'DCF'!D16+'DCF'!E18/(1+$B20)^'DCF'!E16+'DCF'!F18/(1+$B20)^'DCF'!F16+'DCF'!G18/(1+$B20)^'DCF'!G16+(G$15*'DCF'!C50+'DCF'!C36)/(1+$B20)^'DCF'!G15+'Source Inputs'!$C$43)/'Source Inputs'!$C$40</x:f>
        <x:v>349.93995748778747</x:v>
      </x:c>
      <x:c r="H20" s="90"/>
      <x:c r="I20" s="90"/>
      <x:c r="J20" s="90"/>
      <x:c r="K20" s="2"/>
      <x:c r="L20" s="2"/>
    </x:row>
    <x:row r="21" ht="21" hidden="0" customHeight="1">
      <x:c r="A21" s="90"/>
      <x:c r="B21" s="90"/>
      <x:c r="C21" s="90"/>
      <x:c r="D21" s="90"/>
      <x:c r="E21" s="90"/>
      <x:c r="F21" s="90"/>
      <x:c r="G21" s="90"/>
      <x:c r="H21" s="90"/>
      <x:c r="I21" s="90"/>
      <x:c r="J21" s="90"/>
      <x:c r="K21" s="2"/>
      <x:c r="L21" s="2"/>
    </x:row>
    <x:row r="22" ht="21" hidden="0" customHeight="1">
      <x:c r="A22" s="90"/>
      <x:c r="B22" s="90"/>
      <x:c r="C22" s="90"/>
      <x:c r="D22" s="90"/>
      <x:c r="E22" s="90"/>
      <x:c r="F22" s="90"/>
      <x:c r="G22" s="90"/>
      <x:c r="H22" s="90"/>
      <x:c r="I22" s="90"/>
      <x:c r="J22" s="90"/>
      <x:c r="K22" s="2"/>
      <x:c r="L22" s="2"/>
    </x:row>
    <x:row r="23" ht="21" hidden="0" customHeight="1">
      <x:c r="A23" s="90"/>
      <x:c r="B23" s="90"/>
      <x:c r="C23" s="90"/>
      <x:c r="D23" s="90"/>
      <x:c r="E23" s="90"/>
      <x:c r="F23" s="90"/>
      <x:c r="G23" s="90"/>
      <x:c r="H23" s="90"/>
      <x:c r="I23" s="90"/>
      <x:c r="J23" s="90"/>
      <x:c r="K23" s="2"/>
      <x:c r="L23" s="2"/>
    </x:row>
    <x:row r="24" ht="21" hidden="0" customHeight="1">
      <x:c r="A24" s="90"/>
      <x:c r="B24" s="111" t="str">
        <x:v>The center cells match the active DCF. The perpetuity table rebuilds terminal operating cash flow at each growth rate. Invalid growth / WACC combinations display zero and fail the model’s WACC check when selected.</x:v>
      </x:c>
      <x:c r="C24" s="111"/>
      <x:c r="D24" s="111"/>
      <x:c r="E24" s="111"/>
      <x:c r="F24" s="111"/>
      <x:c r="G24" s="111"/>
      <x:c r="H24" s="111"/>
      <x:c r="I24" s="111"/>
      <x:c r="J24" s="111"/>
      <x:c r="K24" s="2"/>
      <x:c r="L24" s="2"/>
    </x:row>
    <x:row r="25" ht="21" hidden="0" customHeight="1">
      <x:c r="A25" s="90"/>
      <x:c r="B25" s="111"/>
      <x:c r="C25" s="111"/>
      <x:c r="D25" s="111"/>
      <x:c r="E25" s="111"/>
      <x:c r="F25" s="111"/>
      <x:c r="G25" s="111"/>
      <x:c r="H25" s="111"/>
      <x:c r="I25" s="111"/>
      <x:c r="J25" s="111"/>
      <x:c r="K25" s="2"/>
      <x:c r="L25" s="2"/>
    </x:row>
    <x:row r="26" ht="21" hidden="0" customHeight="1">
      <x:c r="A26" s="90"/>
      <x:c r="B26" s="111"/>
      <x:c r="C26" s="111"/>
      <x:c r="D26" s="111"/>
      <x:c r="E26" s="111"/>
      <x:c r="F26" s="111"/>
      <x:c r="G26" s="111"/>
      <x:c r="H26" s="111"/>
      <x:c r="I26" s="111"/>
      <x:c r="J26" s="111"/>
      <x:c r="K26" s="2"/>
      <x:c r="L26" s="2"/>
    </x:row>
    <x:row r="27" ht="21" hidden="0" customHeight="1">
      <x:c r="A27" s="90"/>
      <x:c r="B27" s="90"/>
      <x:c r="C27" s="90"/>
      <x:c r="D27" s="90"/>
      <x:c r="E27" s="90"/>
      <x:c r="F27" s="90"/>
      <x:c r="G27" s="90"/>
      <x:c r="H27" s="90"/>
      <x:c r="I27" s="90"/>
      <x:c r="J27" s="90"/>
      <x:c r="K27" s="2"/>
      <x:c r="L27" s="2"/>
    </x:row>
    <x:row r="28" ht="21" hidden="0" customHeight="1">
      <x:c r="A28" s="90"/>
      <x:c r="B28" s="90"/>
      <x:c r="C28" s="90"/>
      <x:c r="D28" s="90"/>
      <x:c r="E28" s="90"/>
      <x:c r="F28" s="90"/>
      <x:c r="G28" s="90"/>
      <x:c r="H28" s="90"/>
      <x:c r="I28" s="90"/>
      <x:c r="J28" s="90"/>
      <x:c r="K28" s="2"/>
      <x:c r="L28" s="2"/>
    </x:row>
    <x:row r="29" ht="21" hidden="0" customHeight="1">
      <x:c r="A29" s="90"/>
      <x:c r="B29" s="90"/>
      <x:c r="C29" s="90"/>
      <x:c r="D29" s="90"/>
      <x:c r="E29" s="90"/>
      <x:c r="F29" s="90"/>
      <x:c r="G29" s="90"/>
      <x:c r="H29" s="90"/>
      <x:c r="I29" s="90"/>
      <x:c r="J29" s="90"/>
      <x:c r="K29" s="2"/>
      <x:c r="L29" s="2"/>
    </x:row>
    <x:row r="30" ht="21" hidden="0" customHeight="1">
      <x:c r="A30" s="90"/>
      <x:c r="B30" s="90"/>
      <x:c r="C30" s="90"/>
      <x:c r="D30" s="90"/>
      <x:c r="E30" s="90"/>
      <x:c r="F30" s="90"/>
      <x:c r="G30" s="90"/>
      <x:c r="H30" s="90"/>
      <x:c r="I30" s="90"/>
      <x:c r="J30" s="90"/>
      <x:c r="K30" s="2"/>
      <x:c r="L30" s="2"/>
    </x:row>
    <x:row r="31" ht="21" hidden="0" customHeight="1">
      <x:c r="A31" s="90"/>
      <x:c r="B31" s="90"/>
      <x:c r="C31" s="90"/>
      <x:c r="D31" s="90"/>
      <x:c r="E31" s="90"/>
      <x:c r="F31" s="90"/>
      <x:c r="G31" s="90"/>
      <x:c r="H31" s="90"/>
      <x:c r="I31" s="90"/>
      <x:c r="J31" s="90"/>
      <x:c r="K31" s="2"/>
      <x:c r="L31" s="2"/>
    </x:row>
    <x:row r="32" ht="21" hidden="0" customHeight="1">
      <x:c r="A32" s="90"/>
      <x:c r="B32" s="90"/>
      <x:c r="C32" s="90"/>
      <x:c r="D32" s="90"/>
      <x:c r="E32" s="90"/>
      <x:c r="F32" s="90"/>
      <x:c r="G32" s="90"/>
      <x:c r="H32" s="90"/>
      <x:c r="I32" s="90"/>
      <x:c r="J32" s="90"/>
      <x:c r="K32" s="2"/>
      <x:c r="L32" s="2"/>
    </x:row>
    <x:row r="33" ht="21" hidden="0" customHeight="1">
      <x:c r="A33" s="90"/>
      <x:c r="B33" s="90"/>
      <x:c r="C33" s="90"/>
      <x:c r="D33" s="90"/>
      <x:c r="E33" s="90"/>
      <x:c r="F33" s="90"/>
      <x:c r="G33" s="90"/>
      <x:c r="H33" s="90"/>
      <x:c r="I33" s="90"/>
      <x:c r="J33" s="90"/>
      <x:c r="K33" s="2"/>
      <x:c r="L33" s="2"/>
    </x:row>
    <x:row r="34" ht="21" hidden="0" customHeight="1">
      <x:c r="A34" s="90"/>
      <x:c r="B34" s="90"/>
      <x:c r="C34" s="90"/>
      <x:c r="D34" s="90"/>
      <x:c r="E34" s="90"/>
      <x:c r="F34" s="90"/>
      <x:c r="G34" s="90"/>
      <x:c r="H34" s="90"/>
      <x:c r="I34" s="90"/>
      <x:c r="J34" s="90"/>
      <x:c r="K34" s="2"/>
      <x:c r="L34" s="2"/>
    </x:row>
    <x:row r="35" ht="21" hidden="0" customHeight="1">
      <x:c r="A35" s="90"/>
      <x:c r="B35" s="90"/>
      <x:c r="C35" s="90"/>
      <x:c r="D35" s="90"/>
      <x:c r="E35" s="90"/>
      <x:c r="F35" s="90"/>
      <x:c r="G35" s="90"/>
      <x:c r="H35" s="90"/>
      <x:c r="I35" s="90"/>
      <x:c r="J35" s="90"/>
      <x:c r="K35" s="2"/>
      <x:c r="L35" s="2"/>
    </x:row>
    <x:row r="36" ht="21" hidden="0" customHeight="1">
      <x:c r="A36" s="90"/>
      <x:c r="B36" s="90"/>
      <x:c r="C36" s="90"/>
      <x:c r="D36" s="90"/>
      <x:c r="E36" s="90"/>
      <x:c r="F36" s="90"/>
      <x:c r="G36" s="90"/>
      <x:c r="H36" s="90"/>
      <x:c r="I36" s="90"/>
      <x:c r="J36" s="90"/>
      <x:c r="K36" s="2"/>
      <x:c r="L36" s="2"/>
    </x:row>
    <x:row r="37" ht="15" hidden="0">
      <x:c r="A37" s="2"/>
      <x:c r="B37" s="2"/>
      <x:c r="C37" s="2"/>
      <x:c r="D37" s="2"/>
      <x:c r="E37" s="2"/>
      <x:c r="F37" s="2"/>
      <x:c r="G37" s="2"/>
      <x:c r="H37" s="2"/>
      <x:c r="I37" s="2"/>
      <x:c r="J37" s="2"/>
      <x:c r="K37" s="2"/>
      <x:c r="L37" s="2"/>
    </x:row>
    <x:row r="38" ht="15" hidden="0">
      <x:c r="A38" s="2"/>
      <x:c r="B38" s="2"/>
      <x:c r="C38" s="2"/>
      <x:c r="D38" s="2"/>
      <x:c r="E38" s="2"/>
      <x:c r="F38" s="2"/>
      <x:c r="G38" s="2"/>
      <x:c r="H38" s="2"/>
      <x:c r="I38" s="2"/>
      <x:c r="J38" s="2"/>
      <x:c r="K38" s="2"/>
      <x:c r="L38" s="2"/>
    </x:row>
    <x:row r="39" ht="15" hidden="0">
      <x:c r="A39" s="2"/>
      <x:c r="B39" s="2"/>
      <x:c r="C39" s="2"/>
      <x:c r="D39" s="2"/>
      <x:c r="E39" s="2"/>
      <x:c r="F39" s="2"/>
      <x:c r="G39" s="2"/>
      <x:c r="H39" s="2"/>
      <x:c r="I39" s="2"/>
      <x:c r="J39" s="2"/>
      <x:c r="K39" s="2"/>
      <x:c r="L39" s="2"/>
    </x:row>
    <x:row r="40" ht="15" hidden="0">
      <x:c r="A40" s="2"/>
      <x:c r="B40" s="2"/>
      <x:c r="C40" s="2"/>
      <x:c r="D40" s="2"/>
      <x:c r="E40" s="2"/>
      <x:c r="F40" s="2"/>
      <x:c r="G40" s="2"/>
      <x:c r="H40" s="2"/>
      <x:c r="I40" s="2"/>
      <x:c r="J40" s="2"/>
      <x:c r="K40" s="2"/>
      <x:c r="L40" s="2"/>
    </x:row>
    <x:row r="41" ht="15" hidden="0">
      <x:c r="A41" s="2"/>
      <x:c r="B41" s="2"/>
      <x:c r="C41" s="2"/>
      <x:c r="D41" s="2"/>
      <x:c r="E41" s="2"/>
      <x:c r="F41" s="2"/>
      <x:c r="G41" s="2"/>
      <x:c r="H41" s="2"/>
      <x:c r="I41" s="2"/>
      <x:c r="J41" s="2"/>
      <x:c r="K41" s="2"/>
      <x:c r="L41" s="2"/>
    </x:row>
    <x:row r="42" ht="15" hidden="0">
      <x:c r="A42" s="2"/>
      <x:c r="B42" s="2"/>
      <x:c r="C42" s="2"/>
      <x:c r="D42" s="2"/>
      <x:c r="E42" s="2"/>
      <x:c r="F42" s="2"/>
      <x:c r="G42" s="2"/>
      <x:c r="H42" s="2"/>
      <x:c r="I42" s="2"/>
      <x:c r="J42" s="2"/>
      <x:c r="K42" s="2"/>
      <x:c r="L42" s="2"/>
    </x:row>
    <x:row r="43" ht="15" hidden="0">
      <x:c r="A43" s="2"/>
      <x:c r="B43" s="2"/>
      <x:c r="C43" s="2"/>
      <x:c r="D43" s="2"/>
      <x:c r="E43" s="2"/>
      <x:c r="F43" s="2"/>
      <x:c r="G43" s="2"/>
      <x:c r="H43" s="2"/>
      <x:c r="I43" s="2"/>
      <x:c r="J43" s="2"/>
      <x:c r="K43" s="2"/>
      <x:c r="L43" s="2"/>
    </x:row>
    <x:row r="44" ht="15" hidden="0">
      <x:c r="A44" s="2"/>
      <x:c r="B44" s="2"/>
      <x:c r="C44" s="2"/>
      <x:c r="D44" s="2"/>
      <x:c r="E44" s="2"/>
      <x:c r="F44" s="2"/>
      <x:c r="G44" s="2"/>
      <x:c r="H44" s="2"/>
      <x:c r="I44" s="2"/>
      <x:c r="J44" s="2"/>
      <x:c r="K44" s="2"/>
      <x:c r="L44" s="2"/>
    </x:row>
    <x:row r="45" ht="15" hidden="0">
      <x:c r="A45" s="2"/>
      <x:c r="B45" s="2"/>
      <x:c r="C45" s="2"/>
      <x:c r="D45" s="2"/>
      <x:c r="E45" s="2"/>
      <x:c r="F45" s="2"/>
      <x:c r="G45" s="2"/>
      <x:c r="H45" s="2"/>
      <x:c r="I45" s="2"/>
      <x:c r="J45" s="2"/>
      <x:c r="K45" s="2"/>
      <x:c r="L45" s="2"/>
    </x:row>
    <x:row r="46" ht="15" hidden="0">
      <x:c r="A46" s="2"/>
      <x:c r="B46" s="2"/>
      <x:c r="C46" s="2"/>
      <x:c r="D46" s="2"/>
      <x:c r="E46" s="2"/>
      <x:c r="F46" s="2"/>
      <x:c r="G46" s="2"/>
      <x:c r="H46" s="2"/>
      <x:c r="I46" s="2"/>
      <x:c r="J46" s="2"/>
      <x:c r="K46" s="2"/>
      <x:c r="L46" s="2"/>
    </x:row>
    <x:row r="47" ht="15" hidden="0">
      <x:c r="A47" s="2"/>
      <x:c r="B47" s="2"/>
      <x:c r="C47" s="2"/>
      <x:c r="D47" s="2"/>
      <x:c r="E47" s="2"/>
      <x:c r="F47" s="2"/>
      <x:c r="G47" s="2"/>
      <x:c r="H47" s="2"/>
      <x:c r="I47" s="2"/>
      <x:c r="J47" s="2"/>
      <x:c r="K47" s="2"/>
      <x:c r="L47" s="2"/>
    </x:row>
    <x:row r="48" ht="15" hidden="0">
      <x:c r="A48" s="2"/>
      <x:c r="B48" s="2"/>
      <x:c r="C48" s="2"/>
      <x:c r="D48" s="2"/>
      <x:c r="E48" s="2"/>
      <x:c r="F48" s="2"/>
      <x:c r="G48" s="2"/>
      <x:c r="H48" s="2"/>
      <x:c r="I48" s="2"/>
      <x:c r="J48" s="2"/>
      <x:c r="K48" s="2"/>
      <x:c r="L48" s="2"/>
    </x:row>
    <x:row r="49" ht="15" hidden="0">
      <x:c r="A49" s="2"/>
      <x:c r="B49" s="2"/>
      <x:c r="C49" s="2"/>
      <x:c r="D49" s="2"/>
      <x:c r="E49" s="2"/>
      <x:c r="F49" s="2"/>
      <x:c r="G49" s="2"/>
      <x:c r="H49" s="2"/>
      <x:c r="I49" s="2"/>
      <x:c r="J49" s="2"/>
      <x:c r="K49" s="2"/>
      <x:c r="L49" s="2"/>
    </x:row>
    <x:row r="50" ht="15" hidden="0">
      <x:c r="A50" s="2"/>
      <x:c r="B50" s="2"/>
      <x:c r="C50" s="2"/>
      <x:c r="D50" s="2"/>
      <x:c r="E50" s="2"/>
      <x:c r="F50" s="2"/>
      <x:c r="G50" s="2"/>
      <x:c r="H50" s="2"/>
      <x:c r="I50" s="2"/>
      <x:c r="J50" s="2"/>
      <x:c r="K50" s="2"/>
      <x:c r="L50" s="2"/>
    </x:row>
    <x:row r="51" ht="15" hidden="0">
      <x:c r="A51" s="2"/>
      <x:c r="B51" s="2"/>
      <x:c r="C51" s="2"/>
      <x:c r="D51" s="2"/>
      <x:c r="E51" s="2"/>
      <x:c r="F51" s="2"/>
      <x:c r="G51" s="2"/>
      <x:c r="H51" s="2"/>
      <x:c r="I51" s="2"/>
      <x:c r="J51" s="2"/>
      <x:c r="K51" s="2"/>
      <x:c r="L51" s="2"/>
    </x:row>
    <x:row r="52" ht="15" hidden="0">
      <x:c r="A52" s="2"/>
      <x:c r="B52" s="2"/>
      <x:c r="C52" s="2"/>
      <x:c r="D52" s="2"/>
      <x:c r="E52" s="2"/>
      <x:c r="F52" s="2"/>
      <x:c r="G52" s="2"/>
      <x:c r="H52" s="2"/>
      <x:c r="I52" s="2"/>
      <x:c r="J52" s="2"/>
      <x:c r="K52" s="2"/>
      <x:c r="L52" s="2"/>
    </x:row>
    <x:row r="53" ht="15" hidden="0">
      <x:c r="A53" s="2"/>
      <x:c r="B53" s="2"/>
      <x:c r="C53" s="2"/>
      <x:c r="D53" s="2"/>
      <x:c r="E53" s="2"/>
      <x:c r="F53" s="2"/>
      <x:c r="G53" s="2"/>
      <x:c r="H53" s="2"/>
      <x:c r="I53" s="2"/>
      <x:c r="J53" s="2"/>
      <x:c r="K53" s="2"/>
      <x:c r="L53" s="2"/>
    </x:row>
    <x:row r="54" ht="15" hidden="0">
      <x:c r="A54" s="2"/>
      <x:c r="B54" s="2"/>
      <x:c r="C54" s="2"/>
      <x:c r="D54" s="2"/>
      <x:c r="E54" s="2"/>
      <x:c r="F54" s="2"/>
      <x:c r="G54" s="2"/>
      <x:c r="H54" s="2"/>
      <x:c r="I54" s="2"/>
      <x:c r="J54" s="2"/>
      <x:c r="K54" s="2"/>
      <x:c r="L54" s="2"/>
    </x:row>
    <x:row r="55" ht="15" hidden="0">
      <x:c r="A55" s="2"/>
      <x:c r="B55" s="2"/>
      <x:c r="C55" s="2"/>
      <x:c r="D55" s="2"/>
      <x:c r="E55" s="2"/>
      <x:c r="F55" s="2"/>
      <x:c r="G55" s="2"/>
      <x:c r="H55" s="2"/>
      <x:c r="I55" s="2"/>
      <x:c r="J55" s="2"/>
      <x:c r="K55" s="2"/>
      <x:c r="L55" s="2"/>
    </x:row>
    <x:row r="56" ht="15" hidden="0">
      <x:c r="A56" s="2"/>
      <x:c r="B56" s="2"/>
      <x:c r="C56" s="2"/>
      <x:c r="D56" s="2"/>
      <x:c r="E56" s="2"/>
      <x:c r="F56" s="2"/>
      <x:c r="G56" s="2"/>
      <x:c r="H56" s="2"/>
      <x:c r="I56" s="2"/>
      <x:c r="J56" s="2"/>
      <x:c r="K56" s="2"/>
      <x:c r="L56" s="2"/>
    </x:row>
    <x:row r="57" ht="15" hidden="0">
      <x:c r="A57" s="2"/>
      <x:c r="B57" s="2"/>
      <x:c r="C57" s="2"/>
      <x:c r="D57" s="2"/>
      <x:c r="E57" s="2"/>
      <x:c r="F57" s="2"/>
      <x:c r="G57" s="2"/>
      <x:c r="H57" s="2"/>
      <x:c r="I57" s="2"/>
      <x:c r="J57" s="2"/>
      <x:c r="K57" s="2"/>
      <x:c r="L57" s="2"/>
    </x:row>
    <x:row r="58" ht="15" hidden="0">
      <x:c r="A58" s="2"/>
      <x:c r="B58" s="2"/>
      <x:c r="C58" s="2"/>
      <x:c r="D58" s="2"/>
      <x:c r="E58" s="2"/>
      <x:c r="F58" s="2"/>
      <x:c r="G58" s="2"/>
      <x:c r="H58" s="2"/>
      <x:c r="I58" s="2"/>
      <x:c r="J58" s="2"/>
      <x:c r="K58" s="2"/>
      <x:c r="L58" s="2"/>
    </x:row>
    <x:row r="59" ht="15" hidden="0">
      <x:c r="A59" s="2"/>
      <x:c r="B59" s="2"/>
      <x:c r="C59" s="2"/>
      <x:c r="D59" s="2"/>
      <x:c r="E59" s="2"/>
      <x:c r="F59" s="2"/>
      <x:c r="G59" s="2"/>
      <x:c r="H59" s="2"/>
      <x:c r="I59" s="2"/>
      <x:c r="J59" s="2"/>
      <x:c r="K59" s="2"/>
      <x:c r="L59" s="2"/>
    </x:row>
    <x:row r="60" ht="15" hidden="0">
      <x:c r="A60" s="2"/>
      <x:c r="B60" s="2"/>
      <x:c r="C60" s="2"/>
      <x:c r="D60" s="2"/>
      <x:c r="E60" s="2"/>
      <x:c r="F60" s="2"/>
      <x:c r="G60" s="2"/>
      <x:c r="H60" s="2"/>
      <x:c r="I60" s="2"/>
      <x:c r="J60" s="2"/>
      <x:c r="K60" s="2"/>
      <x:c r="L60" s="2"/>
    </x:row>
  </x:sheetData>
  <x:mergeCells>
    <x:mergeCell ref="A1:J1"/>
    <x:mergeCell ref="A2:J3"/>
    <x:mergeCell ref="B24:J26"/>
  </x:mergeCells>
  <x:pageMargins left="0.7" right="0.7" top="0.75" bottom="0.75" header="0.3" footer="0.3"/>
</x:worksheet>
</file>

<file path=xl/worksheets/sheet13.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4" width="16" hidden="0" customWidth="1"/>
    <x:col min="5" max="5" width="17" hidden="0" customWidth="1"/>
    <x:col min="3" max="3" width="17" hidden="0" customWidth="1"/>
    <x:col min="4" max="4"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SOURCES AND MODEL CONVENTIONS</x:v>
      </x:c>
      <x:c r="B1" s="142"/>
      <x:c r="C1" s="142"/>
      <x:c r="D1" s="142"/>
      <x:c r="E1" s="142"/>
      <x:c r="F1" s="142"/>
      <x:c r="G1" s="142"/>
      <x:c r="H1" s="142"/>
      <x:c r="I1" s="92"/>
      <x:c r="J1" s="92"/>
    </x:row>
    <x:row r="2" ht="21" hidden="0" customHeight="1">
      <x:c r="A2" s="144" t="str">
        <x:v>Reported figures and planning assumptions have distinct roles. Model version: September 8, 2026.</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115"/>
      <x:c r="B4" s="115"/>
      <x:c r="C4" s="115"/>
      <x:c r="D4" s="115"/>
      <x:c r="E4" s="115"/>
      <x:c r="F4" s="115"/>
      <x:c r="G4" s="115"/>
      <x:c r="H4" s="115"/>
      <x:c r="I4" s="90"/>
      <x:c r="J4" s="90"/>
    </x:row>
    <x:row r="5" ht="21" hidden="0" customHeight="1">
      <x:c r="A5" s="90"/>
      <x:c r="B5" s="264" t="str">
        <x:v>Q2 FY2027 results: six months and quarter ended July 26, 2026. Income statement, balance sheet, cash flow and dividend.</x:v>
      </x:c>
      <x:c r="C5" s="264"/>
      <x:c r="D5" s="264"/>
      <x:c r="E5" s="264"/>
      <x:c r="F5" s="111"/>
      <x:c r="G5" s="111"/>
      <x:c r="H5" s="111"/>
      <x:c r="I5" s="111"/>
      <x:c r="J5" s="111"/>
    </x:row>
    <x:row r="6" ht="21" hidden="0" customHeight="1">
      <x:c r="A6" s="90"/>
      <x:c r="B6" s="111"/>
      <x:c r="C6" s="111"/>
      <x:c r="D6" s="111"/>
      <x:c r="E6" s="255"/>
      <x:c r="F6" s="111"/>
      <x:c r="G6" s="111"/>
      <x:c r="H6" s="111"/>
      <x:c r="I6" s="111"/>
      <x:c r="J6" s="111"/>
    </x:row>
    <x:row r="7" ht="21" hidden="0" customHeight="1">
      <x:c r="A7" s="90"/>
      <x:c r="B7" s="90"/>
      <x:c r="C7" s="90"/>
      <x:c r="D7" s="90"/>
      <x:c r="E7" s="255"/>
      <x:c r="F7" s="90"/>
      <x:c r="G7" s="90"/>
      <x:c r="H7" s="90"/>
      <x:c r="I7" s="90"/>
      <x:c r="J7" s="90"/>
    </x:row>
    <x:row r="8" ht="21" hidden="0" customHeight="1">
      <x:c r="A8" s="90"/>
      <x:c r="B8" s="111" t="str">
        <x:v>https://nvidianews.nvidia.com/news/nvidia-announces-financial-results-for-second-quarter-fiscal-2027</x:v>
      </x:c>
      <x:c r="C8" s="111"/>
      <x:c r="D8" s="111"/>
      <x:c r="E8" s="255"/>
      <x:c r="F8" s="111"/>
      <x:c r="G8" s="111"/>
      <x:c r="H8" s="111"/>
      <x:c r="I8" s="111"/>
      <x:c r="J8" s="111"/>
    </x:row>
    <x:row r="9" ht="21" hidden="0" customHeight="1">
      <x:c r="A9" s="90"/>
      <x:c r="B9" s="111"/>
      <x:c r="C9" s="111"/>
      <x:c r="D9" s="111"/>
      <x:c r="E9" s="255"/>
      <x:c r="F9" s="111"/>
      <x:c r="G9" s="111"/>
      <x:c r="H9" s="111"/>
      <x:c r="I9" s="111"/>
      <x:c r="J9" s="111"/>
    </x:row>
    <x:row r="10" ht="21" hidden="0" customHeight="1">
      <x:c r="A10" s="90"/>
      <x:c r="B10" s="111"/>
      <x:c r="C10" s="111"/>
      <x:c r="D10" s="111"/>
      <x:c r="E10" s="255"/>
      <x:c r="F10" s="111"/>
      <x:c r="G10" s="111"/>
      <x:c r="H10" s="111"/>
      <x:c r="I10" s="111"/>
      <x:c r="J10" s="111"/>
    </x:row>
    <x:row r="11" ht="21" hidden="0" customHeight="1">
      <x:c r="A11" s="90"/>
      <x:c r="B11" s="90"/>
      <x:c r="C11" s="90"/>
      <x:c r="D11" s="90"/>
      <x:c r="E11" s="255"/>
      <x:c r="F11" s="90"/>
      <x:c r="G11" s="90"/>
      <x:c r="H11" s="90"/>
      <x:c r="I11" s="90"/>
      <x:c r="J11" s="90"/>
    </x:row>
    <x:row r="12" ht="21" hidden="0" customHeight="1">
      <x:c r="A12" s="90"/>
      <x:c r="B12" s="111" t="str">
        <x:v>Q2 FY2027 10-Q: debt principal, purchase commitments, investments and working-capital detail.</x:v>
      </x:c>
      <x:c r="C12" s="111"/>
      <x:c r="D12" s="111"/>
      <x:c r="E12" s="255"/>
      <x:c r="F12" s="111"/>
      <x:c r="G12" s="111"/>
      <x:c r="H12" s="111"/>
      <x:c r="I12" s="111"/>
      <x:c r="J12" s="111"/>
    </x:row>
    <x:row r="13" ht="21" hidden="0" customHeight="1">
      <x:c r="A13" s="90"/>
      <x:c r="B13" s="111"/>
      <x:c r="C13" s="111"/>
      <x:c r="D13" s="111"/>
      <x:c r="E13" s="111"/>
      <x:c r="F13" s="111"/>
      <x:c r="G13" s="111"/>
      <x:c r="H13" s="111"/>
      <x:c r="I13" s="111"/>
      <x:c r="J13" s="111"/>
    </x:row>
    <x:row r="14" ht="21" hidden="0" customHeight="1">
      <x:c r="A14" s="115"/>
      <x:c r="B14" s="115"/>
      <x:c r="C14" s="115"/>
      <x:c r="D14" s="115"/>
      <x:c r="E14" s="115"/>
      <x:c r="F14" s="115"/>
      <x:c r="G14" s="115"/>
      <x:c r="H14" s="115"/>
      <x:c r="I14" s="90"/>
      <x:c r="J14" s="90"/>
    </x:row>
    <x:row r="15" ht="21" hidden="0" customHeight="1">
      <x:c r="A15" s="90"/>
      <x:c r="B15" s="264" t="str">
        <x:v>https://s201.q4cdn.com/141608511/files/doc_financials/2027/NVDA-2027-Q2-10Q-Final-including-exhibits.pdf</x:v>
      </x:c>
      <x:c r="C15" s="111"/>
      <x:c r="D15" s="111"/>
      <x:c r="E15" s="255"/>
      <x:c r="F15" s="111"/>
      <x:c r="G15" s="111"/>
      <x:c r="H15" s="111"/>
      <x:c r="I15" s="111"/>
      <x:c r="J15" s="111"/>
    </x:row>
    <x:row r="16" ht="21" hidden="0" customHeight="1">
      <x:c r="A16" s="90"/>
      <x:c r="B16" s="264"/>
      <x:c r="C16" s="111"/>
      <x:c r="D16" s="111"/>
      <x:c r="E16" s="255"/>
      <x:c r="F16" s="111"/>
      <x:c r="G16" s="111"/>
      <x:c r="H16" s="111"/>
      <x:c r="I16" s="111"/>
      <x:c r="J16" s="111"/>
    </x:row>
    <x:row r="17" ht="21" hidden="0" customHeight="1">
      <x:c r="A17" s="90"/>
      <x:c r="B17" s="264"/>
      <x:c r="C17" s="111"/>
      <x:c r="D17" s="111"/>
      <x:c r="E17" s="255"/>
      <x:c r="F17" s="111"/>
      <x:c r="G17" s="111"/>
      <x:c r="H17" s="111"/>
      <x:c r="I17" s="111"/>
      <x:c r="J17" s="111"/>
    </x:row>
    <x:row r="18" ht="21" hidden="0" customHeight="1">
      <x:c r="A18" s="90"/>
      <x:c r="B18" s="115"/>
      <x:c r="C18" s="90"/>
      <x:c r="D18" s="90"/>
      <x:c r="E18" s="255"/>
      <x:c r="F18" s="90"/>
      <x:c r="G18" s="90"/>
      <x:c r="H18" s="90"/>
      <x:c r="I18" s="90"/>
      <x:c r="J18" s="90"/>
    </x:row>
    <x:row r="19" ht="21" hidden="0" customHeight="1">
      <x:c r="A19" s="90"/>
      <x:c r="B19" s="115"/>
      <x:c r="C19" s="90"/>
      <x:c r="D19" s="90"/>
      <x:c r="E19" s="255"/>
      <x:c r="F19" s="90"/>
      <x:c r="G19" s="90"/>
      <x:c r="H19" s="90"/>
      <x:c r="I19" s="90"/>
      <x:c r="J19" s="90"/>
    </x:row>
    <x:row r="20" ht="21" hidden="0" customHeight="1">
      <x:c r="A20" s="90"/>
      <x:c r="B20" s="111" t="str">
        <x:v>Supplied Capital IQ reference: NVIDIA_NVDA_Valuation_Model.xlsx, uploaded September 8, 2026. Forecast inputs, price snapshot and peer inputs are retained as assumptions. The active margin model is separate from the supplied earnings references.</x:v>
      </x:c>
      <x:c r="C20" s="111"/>
      <x:c r="D20" s="111"/>
      <x:c r="E20" s="111"/>
      <x:c r="F20" s="111"/>
      <x:c r="G20" s="111"/>
      <x:c r="H20" s="111"/>
      <x:c r="I20" s="111"/>
      <x:c r="J20" s="111"/>
    </x:row>
    <x:row r="21" ht="21" hidden="0" customHeight="1">
      <x:c r="A21" s="115"/>
      <x:c r="B21" s="264"/>
      <x:c r="C21" s="264"/>
      <x:c r="D21" s="264"/>
      <x:c r="E21" s="264"/>
      <x:c r="F21" s="264"/>
      <x:c r="G21" s="264"/>
      <x:c r="H21" s="264"/>
      <x:c r="I21" s="111"/>
      <x:c r="J21" s="111"/>
    </x:row>
    <x:row r="22" ht="21" hidden="0" customHeight="1">
      <x:c r="A22" s="90"/>
      <x:c r="B22" s="232"/>
      <x:c r="C22" s="232"/>
      <x:c r="D22" s="232"/>
      <x:c r="E22" s="232"/>
      <x:c r="F22" s="232"/>
      <x:c r="G22" s="232"/>
      <x:c r="H22" s="232"/>
      <x:c r="I22" s="111"/>
      <x:c r="J22" s="111"/>
    </x:row>
    <x:row r="23" ht="21" hidden="0" customHeight="1">
      <x:c r="A23" s="90"/>
      <x:c r="B23" s="132"/>
      <x:c r="C23" s="132"/>
      <x:c r="D23" s="132"/>
      <x:c r="E23" s="132"/>
      <x:c r="F23" s="132"/>
      <x:c r="G23" s="132"/>
      <x:c r="H23" s="132"/>
      <x:c r="I23" s="90"/>
      <x:c r="J23" s="90"/>
    </x:row>
    <x:row r="24" ht="21" hidden="0" customHeight="1">
      <x:c r="A24" s="90"/>
      <x:c r="B24" s="132"/>
      <x:c r="C24" s="132"/>
      <x:c r="D24" s="132"/>
      <x:c r="E24" s="132"/>
      <x:c r="F24" s="132"/>
      <x:c r="G24" s="132"/>
      <x:c r="H24" s="132"/>
      <x:c r="I24" s="90"/>
      <x:c r="J24" s="90"/>
    </x:row>
    <x:row r="25" ht="21" hidden="0" customHeight="1">
      <x:c r="A25" s="90"/>
      <x:c r="B25" s="232" t="str">
        <x:v>DCF: only post-valuation cash flow is discounted. Terminal margins mature; reinvestment includes maintenance, incremental capital and working capital. Equity investment gains are not repeated as operating earnings.</x:v>
      </x:c>
      <x:c r="C25" s="232"/>
      <x:c r="D25" s="232"/>
      <x:c r="E25" s="232"/>
      <x:c r="F25" s="232"/>
      <x:c r="G25" s="232"/>
      <x:c r="H25" s="232"/>
      <x:c r="I25" s="111"/>
      <x:c r="J25" s="111"/>
    </x:row>
    <x:row r="26" ht="21" hidden="0" customHeight="1">
      <x:c r="A26" s="90"/>
      <x:c r="B26" s="111"/>
      <x:c r="C26" s="111"/>
      <x:c r="D26" s="111"/>
      <x:c r="E26" s="111"/>
      <x:c r="F26" s="111"/>
      <x:c r="G26" s="111"/>
      <x:c r="H26" s="111"/>
      <x:c r="I26" s="111"/>
      <x:c r="J26" s="111"/>
    </x:row>
    <x:row r="27" ht="21" hidden="0" customHeight="1">
      <x:c r="A27" s="90"/>
      <x:c r="B27" s="111"/>
      <x:c r="C27" s="111"/>
      <x:c r="D27" s="111"/>
      <x:c r="E27" s="111"/>
      <x:c r="F27" s="111"/>
      <x:c r="G27" s="111"/>
      <x:c r="H27" s="111"/>
      <x:c r="I27" s="111"/>
      <x:c r="J27" s="111"/>
    </x:row>
    <x:row r="28" ht="21" hidden="0" customHeight="1">
      <x:c r="A28" s="90"/>
      <x:c r="B28" s="90"/>
      <x:c r="C28" s="90"/>
      <x:c r="D28" s="90"/>
      <x:c r="E28" s="90"/>
      <x:c r="F28" s="90"/>
      <x:c r="G28" s="90"/>
      <x:c r="H28" s="90"/>
      <x:c r="I28" s="90"/>
      <x:c r="J28" s="90"/>
    </x:row>
    <x:row r="29" ht="21" hidden="0" customHeight="1">
      <x:c r="A29" s="90"/>
      <x:c r="B29" s="90"/>
      <x:c r="C29" s="90"/>
      <x:c r="D29" s="90"/>
      <x:c r="E29" s="90"/>
      <x:c r="F29" s="90"/>
      <x:c r="G29" s="90"/>
      <x:c r="H29" s="90"/>
      <x:c r="I29" s="90"/>
      <x:c r="J29" s="90"/>
    </x:row>
    <x:row r="30" ht="21" hidden="0" customHeight="1">
      <x:c r="A30" s="90"/>
      <x:c r="B30" s="111" t="str">
        <x:v>Capital bridge: cash and marketable debt are liquid assets; marketable equity and private investments have separate realization assumptions. Keep operating cash, funded principal and investment commitments visible.</x:v>
      </x:c>
      <x:c r="C30" s="111"/>
      <x:c r="D30" s="111"/>
      <x:c r="E30" s="111"/>
      <x:c r="F30" s="111"/>
      <x:c r="G30" s="111"/>
      <x:c r="H30" s="111"/>
      <x:c r="I30" s="111"/>
      <x:c r="J30" s="111"/>
    </x:row>
    <x:row r="31" ht="21" hidden="0" customHeight="1">
      <x:c r="A31" s="90"/>
      <x:c r="B31" s="111"/>
      <x:c r="C31" s="111"/>
      <x:c r="D31" s="111"/>
      <x:c r="E31" s="111"/>
      <x:c r="F31" s="111"/>
      <x:c r="G31" s="111"/>
      <x:c r="H31" s="111"/>
      <x:c r="I31" s="111"/>
      <x:c r="J31" s="111"/>
    </x:row>
    <x:row r="32" ht="21" hidden="0" customHeight="1">
      <x:c r="A32" s="90"/>
      <x:c r="B32" s="111"/>
      <x:c r="C32" s="111"/>
      <x:c r="D32" s="111"/>
      <x:c r="E32" s="111"/>
      <x:c r="F32" s="111"/>
      <x:c r="G32" s="111"/>
      <x:c r="H32" s="111"/>
      <x:c r="I32" s="111"/>
      <x:c r="J32" s="111"/>
    </x:row>
    <x:row r="33" ht="21" hidden="0" customHeight="1">
      <x:c r="A33" s="90"/>
      <x:c r="B33" s="90"/>
      <x:c r="C33" s="90"/>
      <x:c r="D33" s="90"/>
      <x:c r="E33" s="90"/>
      <x:c r="F33" s="90"/>
      <x:c r="G33" s="90"/>
      <x:c r="H33" s="90"/>
      <x:c r="I33" s="90"/>
      <x:c r="J33" s="90"/>
    </x:row>
    <x:row r="34" ht="21" hidden="0" customHeight="1">
      <x:c r="A34" s="90"/>
      <x:c r="B34" s="90"/>
      <x:c r="C34" s="90"/>
      <x:c r="D34" s="90"/>
      <x:c r="E34" s="90"/>
      <x:c r="F34" s="90"/>
      <x:c r="G34" s="90"/>
      <x:c r="H34" s="90"/>
      <x:c r="I34" s="90"/>
      <x:c r="J34" s="90"/>
    </x:row>
    <x:row r="35" ht="21" hidden="0" customHeight="1">
      <x:c r="A35" s="90"/>
      <x:c r="B35" s="111" t="str">
        <x:v>Stock compensation: an operating cost in DCF. Company-style cash flow adds it back; the separate share schedule illustrates issuance and repurchases. The DCF uses one current diluted share input.</x:v>
      </x:c>
      <x:c r="C35" s="111"/>
      <x:c r="D35" s="111"/>
      <x:c r="E35" s="111"/>
      <x:c r="F35" s="111"/>
      <x:c r="G35" s="111"/>
      <x:c r="H35" s="111"/>
      <x:c r="I35" s="111"/>
      <x:c r="J35" s="111"/>
    </x:row>
    <x:row r="36" ht="21" hidden="0" customHeight="1">
      <x:c r="A36" s="90"/>
      <x:c r="B36" s="111"/>
      <x:c r="C36" s="111"/>
      <x:c r="D36" s="111"/>
      <x:c r="E36" s="111"/>
      <x:c r="F36" s="111"/>
      <x:c r="G36" s="111"/>
      <x:c r="H36" s="111"/>
      <x:c r="I36" s="111"/>
      <x:c r="J36" s="111"/>
    </x:row>
    <x:row r="37" ht="21" hidden="0" customHeight="1">
      <x:c r="A37" s="90"/>
      <x:c r="B37" s="111"/>
      <x:c r="C37" s="111"/>
      <x:c r="D37" s="111"/>
      <x:c r="E37" s="111"/>
      <x:c r="F37" s="111"/>
      <x:c r="G37" s="111"/>
      <x:c r="H37" s="111"/>
      <x:c r="I37" s="111"/>
      <x:c r="J37" s="111"/>
    </x:row>
    <x:row r="38" ht="21" hidden="0" customHeight="1">
      <x:c r="A38" s="90"/>
      <x:c r="B38" s="90"/>
      <x:c r="C38" s="90"/>
      <x:c r="D38" s="90"/>
      <x:c r="E38" s="90"/>
      <x:c r="F38" s="90"/>
      <x:c r="G38" s="90"/>
      <x:c r="H38" s="90"/>
      <x:c r="I38" s="90"/>
      <x:c r="J38" s="90"/>
    </x:row>
    <x:row r="39" ht="21" hidden="0" customHeight="1">
      <x:c r="A39" s="90"/>
      <x:c r="B39" s="90"/>
      <x:c r="C39" s="90"/>
      <x:c r="D39" s="90"/>
      <x:c r="E39" s="90"/>
      <x:c r="F39" s="90"/>
      <x:c r="G39" s="90"/>
      <x:c r="H39" s="90"/>
      <x:c r="I39" s="90"/>
      <x:c r="J39" s="90"/>
    </x:row>
    <x:row r="40" ht="21" hidden="0" customHeight="1">
      <x:c r="A40" s="90"/>
      <x:c r="B40" s="111" t="str">
        <x:v>Acquisition returns: an educational financing assumption, with limited tax shields, explicit additional funding, surplus cash and a fee-inclusive price ceiling. Do not pay the seller for synergies that the buyer must still create.</x:v>
      </x:c>
      <x:c r="C40" s="111"/>
      <x:c r="D40" s="111"/>
      <x:c r="E40" s="111"/>
      <x:c r="F40" s="111"/>
      <x:c r="G40" s="111"/>
      <x:c r="H40" s="111"/>
      <x:c r="I40" s="111"/>
      <x:c r="J40" s="111"/>
    </x:row>
    <x:row r="41" ht="21" hidden="0" customHeight="1">
      <x:c r="A41" s="90"/>
      <x:c r="B41" s="111"/>
      <x:c r="C41" s="111"/>
      <x:c r="D41" s="111"/>
      <x:c r="E41" s="111"/>
      <x:c r="F41" s="111"/>
      <x:c r="G41" s="111"/>
      <x:c r="H41" s="111"/>
      <x:c r="I41" s="111"/>
      <x:c r="J41" s="111"/>
    </x:row>
    <x:row r="42" ht="21" hidden="0" customHeight="1">
      <x:c r="A42" s="90"/>
      <x:c r="B42" s="111"/>
      <x:c r="C42" s="111"/>
      <x:c r="D42" s="111"/>
      <x:c r="E42" s="111"/>
      <x:c r="F42" s="111"/>
      <x:c r="G42" s="111"/>
      <x:c r="H42" s="111"/>
      <x:c r="I42" s="111"/>
      <x:c r="J42" s="111"/>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111" t="str">
        <x:v>Historical sources are company annual results and reports. Periods and accounting definitions are retained on Historical Financials; transaction source URLs sit next to each reference.</x:v>
      </x:c>
      <x:c r="C45" s="111"/>
      <x:c r="D45" s="111"/>
      <x:c r="E45" s="111"/>
      <x:c r="F45" s="111"/>
      <x:c r="G45" s="111"/>
      <x:c r="H45" s="111"/>
      <x:c r="I45" s="111"/>
      <x:c r="J45" s="111"/>
    </x:row>
    <x:row r="46" ht="21" hidden="0" customHeight="1">
      <x:c r="A46" s="90"/>
      <x:c r="B46" s="111"/>
      <x:c r="C46" s="111"/>
      <x:c r="D46" s="111"/>
      <x:c r="E46" s="111"/>
      <x:c r="F46" s="111"/>
      <x:c r="G46" s="111"/>
      <x:c r="H46" s="111"/>
      <x:c r="I46" s="111"/>
      <x:c r="J46" s="111"/>
    </x:row>
    <x:row r="47" ht="21" hidden="0" customHeight="1">
      <x:c r="A47" s="90"/>
      <x:c r="B47" s="111"/>
      <x:c r="C47" s="111"/>
      <x:c r="D47" s="111"/>
      <x:c r="E47" s="111"/>
      <x:c r="F47" s="111"/>
      <x:c r="G47" s="111"/>
      <x:c r="H47" s="111"/>
      <x:c r="I47" s="111"/>
      <x:c r="J47" s="111"/>
    </x:row>
    <x:row r="48" ht="21" hidden="0" customHeight="1">
      <x:c r="A48" s="90"/>
      <x:c r="B48" s="90"/>
      <x:c r="C48" s="90"/>
      <x:c r="D48" s="90"/>
      <x:c r="E48" s="90"/>
      <x:c r="F48" s="90"/>
      <x:c r="G48" s="90"/>
      <x:c r="H48" s="90"/>
      <x:c r="I48" s="90"/>
      <x:c r="J48" s="90"/>
    </x:row>
    <x:row r="49" ht="21" hidden="0" customHeight="1">
      <x:c r="A49" s="90"/>
      <x:c r="B49" s="111" t="str">
        <x:v>FY2026 historical results: https://nvidianews.nvidia.com/news/nvidia-announces-financial-results-for-fourth-quarter-and-fiscal-2026</x:v>
      </x:c>
      <x:c r="C49" s="111"/>
      <x:c r="D49" s="111"/>
      <x:c r="E49" s="111"/>
      <x:c r="F49" s="111"/>
      <x:c r="G49" s="111"/>
      <x:c r="H49" s="111"/>
      <x:c r="I49" s="111"/>
      <x:c r="J49" s="111"/>
    </x:row>
    <x:row r="50" ht="21" hidden="0" customHeight="1">
      <x:c r="A50" s="90"/>
      <x:c r="B50" s="111"/>
      <x:c r="C50" s="111"/>
      <x:c r="D50" s="111"/>
      <x:c r="E50" s="111"/>
      <x:c r="F50" s="111"/>
      <x:c r="G50" s="111"/>
      <x:c r="H50" s="111"/>
      <x:c r="I50" s="111"/>
      <x:c r="J50" s="111"/>
    </x:row>
    <x:row r="51" ht="21" customHeight="1">
      <x:c r="A51" s="90"/>
      <x:c r="B51" s="111"/>
      <x:c r="C51" s="111"/>
      <x:c r="D51" s="111"/>
      <x:c r="E51" s="111"/>
      <x:c r="F51" s="111"/>
      <x:c r="G51" s="111"/>
      <x:c r="H51" s="111"/>
      <x:c r="I51" s="111"/>
      <x:c r="J51" s="111"/>
    </x:row>
    <x:row r="52" ht="21" customHeight="1">
      <x:c r="A52" s="90"/>
      <x:c r="B52" s="111"/>
      <x:c r="C52" s="111"/>
      <x:c r="D52" s="111"/>
      <x:c r="E52" s="111"/>
      <x:c r="F52" s="111"/>
      <x:c r="G52" s="111"/>
      <x:c r="H52" s="111"/>
      <x:c r="I52" s="111"/>
      <x:c r="J52" s="111"/>
    </x:row>
    <x:row r="53" ht="21" customHeight="1">
      <x:c r="A53" s="90"/>
      <x:c r="B53" s="90"/>
      <x:c r="C53" s="90"/>
      <x:c r="D53" s="90"/>
      <x:c r="E53" s="90"/>
      <x:c r="F53" s="90"/>
      <x:c r="G53" s="90"/>
      <x:c r="H53" s="90"/>
      <x:c r="I53" s="90"/>
      <x:c r="J53" s="90"/>
    </x:row>
    <x:row r="54" ht="21" customHeight="1">
      <x:c r="A54" s="90"/>
      <x:c r="B54" s="111" t="str">
        <x:v>FY2024 historical results: https://investor.nvidia.com/news/press-release-details/2024/NVIDIA-Announces-Financial-Results-for-Fourth-Quarter-and-Fiscal-2024/</x:v>
      </x:c>
      <x:c r="C54" s="111"/>
      <x:c r="D54" s="111"/>
      <x:c r="E54" s="111"/>
      <x:c r="F54" s="111"/>
      <x:c r="G54" s="111"/>
      <x:c r="H54" s="111"/>
      <x:c r="I54" s="111"/>
      <x:c r="J54" s="111"/>
    </x:row>
    <x:row r="55" ht="21" customHeight="1">
      <x:c r="A55" s="90"/>
      <x:c r="B55" s="111"/>
      <x:c r="C55" s="111"/>
      <x:c r="D55" s="111"/>
      <x:c r="E55" s="111"/>
      <x:c r="F55" s="111"/>
      <x:c r="G55" s="111"/>
      <x:c r="H55" s="111"/>
      <x:c r="I55" s="111"/>
      <x:c r="J55" s="111"/>
    </x:row>
    <x:row r="56" ht="21" customHeight="1">
      <x:c r="A56" s="90"/>
      <x:c r="B56" s="111"/>
      <x:c r="C56" s="111"/>
      <x:c r="D56" s="111"/>
      <x:c r="E56" s="111"/>
      <x:c r="F56" s="111"/>
      <x:c r="G56" s="111"/>
      <x:c r="H56" s="111"/>
      <x:c r="I56" s="111"/>
      <x:c r="J56" s="111"/>
    </x:row>
    <x:row r="57" ht="21" customHeight="1">
      <x:c r="A57" s="90"/>
      <x:c r="B57" s="111"/>
      <x:c r="C57" s="111"/>
      <x:c r="D57" s="111"/>
      <x:c r="E57" s="111"/>
      <x:c r="F57" s="111"/>
      <x:c r="G57" s="111"/>
      <x:c r="H57" s="111"/>
      <x:c r="I57" s="111"/>
      <x:c r="J57" s="111"/>
    </x:row>
    <x:row r="58" ht="21" customHeight="1">
      <x:c r="A58" s="90"/>
      <x:c r="B58" s="90"/>
      <x:c r="C58" s="90"/>
      <x:c r="D58" s="90"/>
      <x:c r="E58" s="90"/>
      <x:c r="F58" s="90"/>
      <x:c r="G58" s="90"/>
      <x:c r="H58" s="90"/>
      <x:c r="I58" s="90"/>
      <x:c r="J58" s="90"/>
    </x:row>
    <x:row r="59" ht="21" customHeight="1">
      <x:c r="A59" s="90"/>
      <x:c r="B59" s="111" t="str">
        <x:v>FY2023 and FY2022 historical results: https://nvidianews.nvidia.com/news/nvidia-announces-financial-results-for-fourth-quarter-and-fiscal-2023 ; https://nvidianews.nvidia.com/news/nvidia-announces-financial-results-for-fourth-quarter-and-fiscal-2022</x:v>
      </x:c>
      <x:c r="C59" s="111"/>
      <x:c r="D59" s="111"/>
      <x:c r="E59" s="111"/>
      <x:c r="F59" s="111"/>
      <x:c r="G59" s="111"/>
      <x:c r="H59" s="111"/>
      <x:c r="I59" s="111"/>
      <x:c r="J59" s="111"/>
    </x:row>
    <x:row r="60" ht="21" customHeight="1">
      <x:c r="A60" s="90"/>
      <x:c r="B60" s="111"/>
      <x:c r="C60" s="111"/>
      <x:c r="D60" s="111"/>
      <x:c r="E60" s="111"/>
      <x:c r="F60" s="111"/>
      <x:c r="G60" s="111"/>
      <x:c r="H60" s="111"/>
      <x:c r="I60" s="111"/>
      <x:c r="J60" s="111"/>
    </x:row>
    <x:row r="61" ht="21" customHeight="1">
      <x:c r="A61" s="90"/>
      <x:c r="B61" s="111"/>
      <x:c r="C61" s="111"/>
      <x:c r="D61" s="111"/>
      <x:c r="E61" s="111"/>
      <x:c r="F61" s="111"/>
      <x:c r="G61" s="111"/>
      <x:c r="H61" s="111"/>
      <x:c r="I61" s="111"/>
      <x:c r="J61" s="111"/>
    </x:row>
    <x:row r="62" ht="21" customHeight="1">
      <x:c r="A62" s="90"/>
      <x:c r="B62" s="111"/>
      <x:c r="C62" s="111"/>
      <x:c r="D62" s="111"/>
      <x:c r="E62" s="111"/>
      <x:c r="F62" s="111"/>
      <x:c r="G62" s="111"/>
      <x:c r="H62" s="111"/>
      <x:c r="I62" s="111"/>
      <x:c r="J62" s="111"/>
    </x:row>
    <x:row r="63" ht="21" customHeight="1">
      <x:c r="A63" s="90"/>
      <x:c r="B63" s="90"/>
      <x:c r="C63" s="90"/>
      <x:c r="D63" s="90"/>
      <x:c r="E63" s="90"/>
      <x:c r="F63" s="90"/>
      <x:c r="G63" s="90"/>
      <x:c r="H63" s="90"/>
      <x:c r="I63" s="90"/>
      <x:c r="J63" s="90"/>
    </x:row>
    <x:row r="64" ht="21" customHeight="1">
      <x:c r="A64" s="90"/>
      <x:c r="B64" s="111" t="str">
        <x:v>Capacity stress: the extra capacity cash-cost assumption is incremental to modeled costs and capex. Keep it at zero if capacity is fully reflected in margins. The Q2 filing discloses cloud, lease and supply commitments plus contingent guarantees; these are not all funded debt.</x:v>
      </x:c>
      <x:c r="C64" s="111"/>
      <x:c r="D64" s="111"/>
      <x:c r="E64" s="111"/>
      <x:c r="F64" s="111"/>
      <x:c r="G64" s="111"/>
      <x:c r="H64" s="111"/>
      <x:c r="I64" s="111"/>
      <x:c r="J64" s="111"/>
    </x:row>
    <x:row r="65" ht="21" customHeight="1">
      <x:c r="A65" s="90"/>
      <x:c r="B65" s="111"/>
      <x:c r="C65" s="111"/>
      <x:c r="D65" s="111"/>
      <x:c r="E65" s="111"/>
      <x:c r="F65" s="111"/>
      <x:c r="G65" s="111"/>
      <x:c r="H65" s="111"/>
      <x:c r="I65" s="111"/>
      <x:c r="J65" s="111"/>
    </x:row>
    <x:row r="66" ht="21" customHeight="1">
      <x:c r="A66" s="90"/>
      <x:c r="B66" s="111"/>
      <x:c r="C66" s="111"/>
      <x:c r="D66" s="111"/>
      <x:c r="E66" s="111"/>
      <x:c r="F66" s="111"/>
      <x:c r="G66" s="111"/>
      <x:c r="H66" s="111"/>
      <x:c r="I66" s="111"/>
      <x:c r="J66" s="111"/>
    </x:row>
    <x:row r="67" ht="21" customHeight="1">
      <x:c r="A67" s="90"/>
      <x:c r="B67" s="111"/>
      <x:c r="C67" s="111"/>
      <x:c r="D67" s="111"/>
      <x:c r="E67" s="111"/>
      <x:c r="F67" s="111"/>
      <x:c r="G67" s="111"/>
      <x:c r="H67" s="111"/>
      <x:c r="I67" s="111"/>
      <x:c r="J67" s="111"/>
    </x:row>
    <x:row r="68" ht="21" customHeight="1">
      <x:c r="A68" s="90"/>
      <x:c r="B68" s="90"/>
      <x:c r="C68" s="90"/>
      <x:c r="D68" s="90"/>
      <x:c r="E68" s="90"/>
      <x:c r="F68" s="90"/>
      <x:c r="G68" s="90"/>
      <x:c r="H68" s="90"/>
      <x:c r="I68" s="90"/>
      <x:c r="J68" s="90"/>
    </x:row>
    <x:row r="69" ht="21" customHeight="1">
      <x:c r="A69" s="90"/>
      <x:c r="B69" s="90"/>
      <x:c r="C69" s="90"/>
      <x:c r="D69" s="90"/>
      <x:c r="E69" s="90"/>
      <x:c r="F69" s="90"/>
      <x:c r="G69" s="90"/>
      <x:c r="H69" s="90"/>
      <x:c r="I69" s="90"/>
      <x:c r="J69" s="90"/>
    </x:row>
  </x:sheetData>
  <x:mergeCells>
    <x:mergeCell ref="A1:J1"/>
    <x:mergeCell ref="A2:J3"/>
    <x:mergeCell ref="B5:J6"/>
    <x:mergeCell ref="B8:J10"/>
    <x:mergeCell ref="B12:J13"/>
    <x:mergeCell ref="B15:J17"/>
    <x:mergeCell ref="B20:J22"/>
    <x:mergeCell ref="B25:J27"/>
    <x:mergeCell ref="B30:J32"/>
    <x:mergeCell ref="B35:J37"/>
    <x:mergeCell ref="B40:J42"/>
    <x:mergeCell ref="B45:J47"/>
    <x:mergeCell ref="B64:J67"/>
    <x:mergeCell ref="B49:J52"/>
    <x:mergeCell ref="B54:J57"/>
    <x:mergeCell ref="B59:J62"/>
  </x:mergeCells>
  <x:pageMargins left="0.7" right="0.7" top="0.75" bottom="0.75" header="0.3" footer="0.3"/>
</x:worksheet>
</file>

<file path=xl/worksheets/sheet14.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8"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hidden="0" customHeight="1">
      <x:c r="A1" s="142" t="str">
        <x:v>NVIDIA | MODEL CHECKS</x:v>
      </x:c>
      <x:c r="B1" s="142"/>
      <x:c r="C1" s="142"/>
      <x:c r="D1" s="142"/>
      <x:c r="E1" s="142"/>
      <x:c r="F1" s="142"/>
      <x:c r="G1" s="142"/>
      <x:c r="H1" s="142"/>
      <x:c r="I1" s="92"/>
      <x:c r="J1" s="92"/>
    </x:row>
    <x:row r="2" ht="21" hidden="0" customHeight="1">
      <x:c r="A2" s="144" t="str">
        <x:v>Calculation checks are separate from funding needs and investment judgment.</x:v>
      </x:c>
      <x:c r="B2" s="144"/>
      <x:c r="C2" s="144"/>
      <x:c r="D2" s="144"/>
      <x:c r="E2" s="144"/>
      <x:c r="F2" s="144"/>
      <x:c r="G2" s="144"/>
      <x:c r="H2" s="144"/>
      <x:c r="I2" s="94"/>
      <x:c r="J2" s="94"/>
    </x:row>
    <x:row r="3" ht="21" hidden="0" customHeight="1">
      <x:c r="A3" s="94"/>
      <x:c r="B3" s="94"/>
      <x:c r="C3" s="94"/>
      <x:c r="D3" s="94"/>
      <x:c r="E3" s="94"/>
      <x:c r="F3" s="94"/>
      <x:c r="G3" s="94"/>
      <x:c r="H3" s="94"/>
      <x:c r="I3" s="94"/>
      <x:c r="J3" s="94"/>
    </x:row>
    <x:row r="4" ht="21" hidden="0" customHeight="1">
      <x:c r="A4" s="90"/>
      <x:c r="B4" s="115"/>
      <x:c r="C4" s="118"/>
      <x:c r="D4" s="118"/>
      <x:c r="E4" s="90"/>
      <x:c r="F4" s="90"/>
      <x:c r="G4" s="90"/>
      <x:c r="H4" s="90"/>
      <x:c r="I4" s="90"/>
      <x:c r="J4" s="90"/>
    </x:row>
    <x:row r="5" ht="21" hidden="0" customHeight="1">
      <x:c r="A5" s="90"/>
      <x:c r="B5" s="90" t="str">
        <x:v>Check</x:v>
      </x:c>
      <x:c r="C5" s="136" t="str">
        <x:f aca="0"/>
        <x:v>Difference / value</x:v>
      </x:c>
      <x:c r="D5" s="118" t="str">
        <x:f aca="0"/>
        <x:v>Expected</x:v>
      </x:c>
      <x:c r="E5" s="90" t="str">
        <x:v>Tolerance</x:v>
      </x:c>
      <x:c r="F5" s="90" t="str">
        <x:v>Status</x:v>
      </x:c>
      <x:c r="G5" s="90"/>
      <x:c r="H5" s="90"/>
      <x:c r="I5" s="90"/>
      <x:c r="J5" s="90"/>
    </x:row>
    <x:row r="6" ht="21" hidden="0" customHeight="1">
      <x:c r="A6" s="90"/>
      <x:c r="B6" s="90" t="str">
        <x:v>Full-year revenue includes actual H1</x:v>
      </x:c>
      <x:c r="C6" s="197" t="n">
        <x:f aca="0">'Operating Forecast'!C9-'Operating Forecast'!C10-'Source Inputs'!$C$19</x:f>
        <x:v>0</x:v>
      </x:c>
      <x:c r="D6" s="149" t="n">
        <x:f aca="0"/>
        <x:v>0</x:v>
      </x:c>
      <x:c r="E6" s="267" t="n">
        <x:v>0.0001</x:v>
      </x:c>
      <x:c r="F6" s="90" t="str">
        <x:f>IF(ABS(C6)&lt;=E6,"PASS","FAIL")</x:f>
        <x:v>PASS</x:v>
      </x:c>
      <x:c r="G6" s="90"/>
      <x:c r="H6" s="90"/>
      <x:c r="I6" s="90"/>
      <x:c r="J6" s="90"/>
    </x:row>
    <x:row r="7" ht="21" hidden="0" customHeight="1">
      <x:c r="A7" s="90"/>
      <x:c r="B7" s="90" t="str">
        <x:v>Full-year operating earnings reconcile</x:v>
      </x:c>
      <x:c r="C7" s="197" t="n">
        <x:f aca="0">'Operating Forecast'!C55-'Operating Forecast'!C9*('Assumptions'!$F$11-'Assumptions'!$F$13)</x:f>
        <x:v>0</x:v>
      </x:c>
      <x:c r="D7" s="149" t="n">
        <x:f aca="0"/>
        <x:v>0</x:v>
      </x:c>
      <x:c r="E7" s="267" t="n">
        <x:v>0.0001</x:v>
      </x:c>
      <x:c r="F7" s="90" t="str">
        <x:f>IF(ABS(C7)&lt;=E7,"PASS","FAIL")</x:f>
        <x:v>PASS</x:v>
      </x:c>
      <x:c r="G7" s="90"/>
      <x:c r="H7" s="90"/>
      <x:c r="I7" s="90"/>
      <x:c r="J7" s="90"/>
    </x:row>
    <x:row r="8" ht="21" hidden="0" customHeight="1">
      <x:c r="A8" s="90"/>
      <x:c r="B8" s="90" t="str">
        <x:v>WACC exceeds terminal growth</x:v>
      </x:c>
      <x:c r="C8" s="197" t="n">
        <x:f aca="0">'DCF'!C9-'DCF'!C10</x:f>
        <x:v>0.10142979390010756</x:v>
      </x:c>
      <x:c r="D8" s="149" t="n">
        <x:f aca="0"/>
        <x:v>0</x:v>
      </x:c>
      <x:c r="E8" s="267" t="n">
        <x:v>0.0001</x:v>
      </x:c>
      <x:c r="F8" s="90" t="str">
        <x:f>IF(C8&gt;0,"PASS","FAIL")</x:f>
        <x:v>PASS</x:v>
      </x:c>
      <x:c r="G8" s="90"/>
      <x:c r="H8" s="90"/>
      <x:c r="I8" s="90"/>
      <x:c r="J8" s="90"/>
    </x:row>
    <x:row r="9" ht="21" hidden="0" customHeight="1">
      <x:c r="A9" s="90"/>
      <x:c r="B9" s="90" t="str">
        <x:v>Valuation date within first forecast period</x:v>
      </x:c>
      <x:c r="C9" s="197" t="n">
        <x:f aca="0">MIN('Source Inputs'!$C$5-'Source Inputs'!$C$6,'Operating Forecast'!C6-'Source Inputs'!$C$5)</x:f>
        <x:v>40</x:v>
      </x:c>
      <x:c r="D9" s="149" t="n">
        <x:f aca="0"/>
        <x:v>0</x:v>
      </x:c>
      <x:c r="E9" s="267" t="n">
        <x:v>0.0001</x:v>
      </x:c>
      <x:c r="F9" s="90" t="str">
        <x:f>IF(C9&gt;0,"PASS","FAIL")</x:f>
        <x:v>PASS</x:v>
      </x:c>
      <x:c r="G9" s="90"/>
      <x:c r="H9" s="90"/>
      <x:c r="I9" s="90"/>
      <x:c r="J9" s="90"/>
    </x:row>
    <x:row r="10" ht="21" hidden="0" customHeight="1">
      <x:c r="A10" s="90"/>
      <x:c r="B10" s="90" t="str">
        <x:v>Current and forecast shares positive</x:v>
      </x:c>
      <x:c r="C10" s="197" t="n">
        <x:f aca="0">MIN('Source Inputs'!$C$40,'Operating Forecast'!C49,'Operating Forecast'!D49,'Operating Forecast'!E49,'Operating Forecast'!F49,'Operating Forecast'!G49)</x:f>
        <x:v>23400.76342527004</x:v>
      </x:c>
      <x:c r="D10" s="149" t="n">
        <x:f aca="0"/>
        <x:v>0</x:v>
      </x:c>
      <x:c r="E10" s="267" t="n">
        <x:v>0.0001</x:v>
      </x:c>
      <x:c r="F10" s="90" t="str">
        <x:f>IF(C10&gt;0,"PASS","FAIL")</x:f>
        <x:v>PASS</x:v>
      </x:c>
      <x:c r="G10" s="90"/>
      <x:c r="H10" s="90"/>
      <x:c r="I10" s="90"/>
      <x:c r="J10" s="90"/>
    </x:row>
    <x:row r="11" ht="21" hidden="0" customHeight="1">
      <x:c r="A11" s="90"/>
      <x:c r="B11" s="90" t="str">
        <x:v>Cash roll-forward ties</x:v>
      </x:c>
      <x:c r="C11" s="197" t="n">
        <x:f aca="0">MAX(ABS('Operating Forecast'!C40-'Operating Forecast'!C19-'Operating Forecast'!C35-'Operating Forecast'!C30-'Operating Forecast'!C36-'Operating Forecast'!C38-'Operating Forecast'!C39-'Operating Forecast'!C59),ABS('Operating Forecast'!D40-'Operating Forecast'!D19-'Operating Forecast'!D35-'Operating Forecast'!D30-'Operating Forecast'!D36-'Operating Forecast'!D38-'Operating Forecast'!D39-'Operating Forecast'!D59),ABS('Operating Forecast'!E40-'Operating Forecast'!E19-'Operating Forecast'!E35-'Operating Forecast'!E30-'Operating Forecast'!E36-'Operating Forecast'!E38-'Operating Forecast'!E39-'Operating Forecast'!E59),ABS('Operating Forecast'!F40-'Operating Forecast'!F19-'Operating Forecast'!F35-'Operating Forecast'!F30-'Operating Forecast'!F36-'Operating Forecast'!F38-'Operating Forecast'!F39-'Operating Forecast'!F59),ABS('Operating Forecast'!G40-'Operating Forecast'!G19-'Operating Forecast'!G35-'Operating Forecast'!G30-'Operating Forecast'!G36-'Operating Forecast'!G38-'Operating Forecast'!G39-'Operating Forecast'!G59))</x:f>
        <x:v>2.0372681319713593e-10</x:v>
      </x:c>
      <x:c r="D11" s="149" t="n">
        <x:f aca="0"/>
        <x:v>0</x:v>
      </x:c>
      <x:c r="E11" s="267" t="n">
        <x:v>0.0001</x:v>
      </x:c>
      <x:c r="F11" s="90" t="str">
        <x:f>IF(ABS(C11)&lt;=E11,"PASS","FAIL")</x:f>
        <x:v>PASS</x:v>
      </x:c>
      <x:c r="G11" s="90"/>
      <x:c r="H11" s="90"/>
      <x:c r="I11" s="90"/>
      <x:c r="J11" s="90"/>
    </x:row>
    <x:row r="12" ht="21" hidden="0" customHeight="1">
      <x:c r="A12" s="90"/>
      <x:c r="B12" s="90" t="str">
        <x:v>Debt roll-forward ties</x:v>
      </x:c>
      <x:c r="C12" s="197" t="n">
        <x:f aca="0">MAX(ABS('Operating Forecast'!C43-'Operating Forecast'!C42-'Operating Forecast'!C39),ABS('Operating Forecast'!D43-'Operating Forecast'!D42-'Operating Forecast'!D39),ABS('Operating Forecast'!E43-'Operating Forecast'!E42-'Operating Forecast'!E39),ABS('Operating Forecast'!F43-'Operating Forecast'!F42-'Operating Forecast'!F39),ABS('Operating Forecast'!G43-'Operating Forecast'!G42-'Operating Forecast'!G39))</x:f>
        <x:v>0</x:v>
      </x:c>
      <x:c r="D12" s="149" t="n">
        <x:f aca="0"/>
        <x:v>0</x:v>
      </x:c>
      <x:c r="E12" s="267" t="n">
        <x:v>0.0001</x:v>
      </x:c>
      <x:c r="F12" s="90" t="str">
        <x:f>IF(ABS(C12)&lt;=E12,"PASS","FAIL")</x:f>
        <x:v>PASS</x:v>
      </x:c>
      <x:c r="G12" s="90"/>
      <x:c r="H12" s="90"/>
      <x:c r="I12" s="90"/>
      <x:c r="J12" s="90"/>
    </x:row>
    <x:row r="13" ht="21" hidden="0" customHeight="1">
      <x:c r="A13" s="90"/>
      <x:c r="B13" s="90" t="str">
        <x:v>Cash reserve maintained</x:v>
      </x:c>
      <x:c r="C13" s="197" t="n">
        <x:f aca="0">MIN('Operating Forecast'!C40,'Operating Forecast'!D40,'Operating Forecast'!E40,'Operating Forecast'!F40,'Operating Forecast'!G40)-'Source Inputs'!$C$15</x:f>
        <x:v>102559.58704806845</x:v>
      </x:c>
      <x:c r="D13" s="149" t="n">
        <x:f aca="0"/>
        <x:v>0</x:v>
      </x:c>
      <x:c r="E13" s="267" t="n">
        <x:v>0.0001</x:v>
      </x:c>
      <x:c r="F13" s="90" t="str">
        <x:f>IF(C13&gt;=-E13,"PASS","FAIL")</x:f>
        <x:v>PASS</x:v>
      </x:c>
      <x:c r="G13" s="90"/>
      <x:c r="H13" s="90"/>
      <x:c r="I13" s="90"/>
      <x:c r="J13" s="90"/>
    </x:row>
    <x:row r="14" ht="21" hidden="0" customHeight="1">
      <x:c r="A14" s="90"/>
      <x:c r="B14" s="90" t="str">
        <x:v>Perpetuity sensitivity center ties</x:v>
      </x:c>
      <x:c r="C14" s="199" t="n">
        <x:f>'Sensitivities'!E8-'DCF'!C45</x:f>
        <x:v>-2.842170943040401e-14</x:v>
      </x:c>
      <x:c r="D14" s="102" t="n">
        <x:v>0</x:v>
      </x:c>
      <x:c r="E14" s="267" t="n">
        <x:v>0.0001</x:v>
      </x:c>
      <x:c r="F14" s="90" t="str">
        <x:f>IF(ABS(C14)&lt;=E14,"PASS","FAIL")</x:f>
        <x:v>PASS</x:v>
      </x:c>
      <x:c r="G14" s="90"/>
      <x:c r="H14" s="90"/>
      <x:c r="I14" s="90"/>
      <x:c r="J14" s="90"/>
    </x:row>
    <x:row r="15" ht="21" hidden="0" customHeight="1">
      <x:c r="A15" s="90"/>
      <x:c r="B15" s="115" t="str">
        <x:v>Exit sensitivity center ties</x:v>
      </x:c>
      <x:c r="C15" s="199" t="n">
        <x:f>'Sensitivities'!E18-'DCF'!D45</x:f>
        <x:v>0</x:v>
      </x:c>
      <x:c r="D15" s="149" t="n">
        <x:f aca="0"/>
        <x:v>0</x:v>
      </x:c>
      <x:c r="E15" s="267" t="n">
        <x:v>0.0001</x:v>
      </x:c>
      <x:c r="F15" s="90" t="str">
        <x:f>IF(ABS(C15)&lt;=E15,"PASS","FAIL")</x:f>
        <x:v>PASS</x:v>
      </x:c>
      <x:c r="G15" s="90"/>
      <x:c r="H15" s="90"/>
      <x:c r="I15" s="90"/>
      <x:c r="J15" s="90"/>
    </x:row>
    <x:row r="16" ht="21" hidden="0" customHeight="1">
      <x:c r="A16" s="90"/>
      <x:c r="B16" s="90" t="str">
        <x:v>Higher WACC lowers value</x:v>
      </x:c>
      <x:c r="C16" s="199" t="n">
        <x:f>'Sensitivities'!E6-'Sensitivities'!E10</x:f>
        <x:v>128.79615241506932</x:v>
      </x:c>
      <x:c r="D16" s="102" t="n">
        <x:v>0</x:v>
      </x:c>
      <x:c r="E16" s="267" t="n">
        <x:v>0.0001</x:v>
      </x:c>
      <x:c r="F16" s="90" t="str">
        <x:f>IF(C16&gt;0,"PASS","FAIL")</x:f>
        <x:v>PASS</x:v>
      </x:c>
      <x:c r="G16" s="90"/>
      <x:c r="H16" s="90"/>
      <x:c r="I16" s="90"/>
      <x:c r="J16" s="90"/>
    </x:row>
    <x:row r="17" ht="21" hidden="0" customHeight="1">
      <x:c r="A17" s="90"/>
      <x:c r="B17" s="132" t="str">
        <x:v>Higher terminal growth raises value</x:v>
      </x:c>
      <x:c r="C17" s="199" t="n">
        <x:f>'Sensitivities'!G8-'Sensitivities'!C8</x:f>
        <x:v>26.630395635463543</x:v>
      </x:c>
      <x:c r="D17" s="102" t="n">
        <x:v>0</x:v>
      </x:c>
      <x:c r="E17" s="267" t="n">
        <x:v>0.0001</x:v>
      </x:c>
      <x:c r="F17" s="90" t="str">
        <x:f>IF(C17&gt;0,"PASS","FAIL")</x:f>
        <x:v>PASS</x:v>
      </x:c>
      <x:c r="G17" s="90"/>
      <x:c r="H17" s="90"/>
      <x:c r="I17" s="90"/>
      <x:c r="J17" s="90"/>
    </x:row>
    <x:row r="18" ht="21" hidden="0" customHeight="1">
      <x:c r="A18" s="90"/>
      <x:c r="B18" s="132" t="str">
        <x:v>Buyer debt roll-forward</x:v>
      </x:c>
      <x:c r="C18" s="199" t="n">
        <x:f>MAX(ABS('Acquisition Returns'!C25-('Acquisition Returns'!C19-'Acquisition Returns'!C23+'Acquisition Returns'!C24)),ABS('Acquisition Returns'!D25-('Acquisition Returns'!D19-'Acquisition Returns'!D23+'Acquisition Returns'!D24)),ABS('Acquisition Returns'!E25-('Acquisition Returns'!E19-'Acquisition Returns'!E23+'Acquisition Returns'!E24)),ABS('Acquisition Returns'!F25-('Acquisition Returns'!F19-'Acquisition Returns'!F23+'Acquisition Returns'!F24)),ABS('Acquisition Returns'!G25-('Acquisition Returns'!G19-'Acquisition Returns'!G23+'Acquisition Returns'!G24)))</x:f>
        <x:v>0</x:v>
      </x:c>
      <x:c r="D18" s="102" t="n">
        <x:v>0</x:v>
      </x:c>
      <x:c r="E18" s="267" t="n">
        <x:v>0.0001</x:v>
      </x:c>
      <x:c r="F18" s="90" t="str">
        <x:f>IF(ABS(C18)&lt;=E18,"PASS","FAIL")</x:f>
        <x:v>PASS</x:v>
      </x:c>
      <x:c r="G18" s="90"/>
      <x:c r="H18" s="90"/>
      <x:c r="I18" s="90"/>
      <x:c r="J18" s="90"/>
    </x:row>
    <x:row r="19" ht="21" hidden="0" customHeight="1">
      <x:c r="A19" s="90"/>
      <x:c r="B19" s="132" t="str">
        <x:v>Fee-inclusive buyer ceiling ties</x:v>
      </x:c>
      <x:c r="C19" s="199" t="n">
        <x:f>'Acquisition Returns'!C39*(1+'Assumptions'!$C$40)-'Acquisition Returns'!C10-'Acquisition Returns'!C38</x:f>
        <x:v>0</x:v>
      </x:c>
      <x:c r="D19" s="102" t="n">
        <x:v>0</x:v>
      </x:c>
      <x:c r="E19" s="267" t="n">
        <x:v>0.0001</x:v>
      </x:c>
      <x:c r="F19" s="90" t="str">
        <x:f>IF(ABS(C19)&lt;=E19,"PASS","FAIL")</x:f>
        <x:v>PASS</x:v>
      </x:c>
      <x:c r="G19" s="90"/>
      <x:c r="H19" s="90"/>
      <x:c r="I19" s="90"/>
      <x:c r="J19" s="90"/>
    </x:row>
    <x:row r="20" ht="21" hidden="0" customHeight="1">
      <x:c r="A20" s="90"/>
      <x:c r="B20" s="132" t="str">
        <x:v>Positive buyer equity invested</x:v>
      </x:c>
      <x:c r="C20" s="199" t="n">
        <x:f>'Acquisition Returns'!C12</x:f>
        <x:v>5672670.081000001</x:v>
      </x:c>
      <x:c r="D20" s="102" t="n">
        <x:v>0</x:v>
      </x:c>
      <x:c r="E20" s="267" t="n">
        <x:v>0.0001</x:v>
      </x:c>
      <x:c r="F20" s="90" t="str">
        <x:f>IF(C20&gt;0,"PASS","FAIL")</x:f>
        <x:v>PASS</x:v>
      </x:c>
      <x:c r="G20" s="90"/>
      <x:c r="H20" s="90"/>
      <x:c r="I20" s="90"/>
      <x:c r="J20" s="90"/>
    </x:row>
    <x:row r="21" ht="21" hidden="0" customHeight="1">
      <x:c r="A21" s="90"/>
      <x:c r="B21" s="90" t="str">
        <x:v>SBC cash-flow reconciliation</x:v>
      </x:c>
      <x:c r="C21" s="199" t="n">
        <x:f>MAX(ABS('KPIs &amp; SBC'!C23),ABS('KPIs &amp; SBC'!D23),ABS('KPIs &amp; SBC'!E23),ABS('KPIs &amp; SBC'!F23),ABS('KPIs &amp; SBC'!G23))</x:f>
        <x:v>5.820766091346741e-11</x:v>
      </x:c>
      <x:c r="D21" s="102" t="n">
        <x:v>0</x:v>
      </x:c>
      <x:c r="E21" s="267" t="n">
        <x:v>0.0001</x:v>
      </x:c>
      <x:c r="F21" s="90" t="str">
        <x:f>IF(ABS(C21)&lt;=E21,"PASS","FAIL")</x:f>
        <x:v>PASS</x:v>
      </x:c>
      <x:c r="G21" s="90"/>
      <x:c r="H21" s="90"/>
      <x:c r="I21" s="90"/>
      <x:c r="J21" s="90"/>
    </x:row>
    <x:row r="22" ht="21" hidden="0" customHeight="1">
      <x:c r="A22" s="90"/>
      <x:c r="B22" s="90" t="str">
        <x:v>Selected multiple bounds ordered</x:v>
      </x:c>
      <x:c r="C22" s="199" t="n">
        <x:f>'Assumptions'!$C$37-'Assumptions'!$C$36</x:f>
        <x:v>5</x:v>
      </x:c>
      <x:c r="D22" s="102" t="n">
        <x:v>0</x:v>
      </x:c>
      <x:c r="E22" s="267" t="n">
        <x:v>0.0001</x:v>
      </x:c>
      <x:c r="F22" s="90" t="str">
        <x:f>IF(C22&gt;=-E22,"PASS","FAIL")</x:f>
        <x:v>PASS</x:v>
      </x:c>
      <x:c r="G22" s="90"/>
      <x:c r="H22" s="90"/>
      <x:c r="I22" s="90"/>
      <x:c r="J22" s="90"/>
    </x:row>
    <x:row r="23" ht="21" hidden="0" customHeight="1">
      <x:c r="A23" s="90"/>
      <x:c r="B23" s="90" t="str">
        <x:v>Capital spending meets commitments</x:v>
      </x:c>
      <x:c r="C23" s="199" t="n">
        <x:f>MIN(-'Operating Forecast'!C28-'Assumptions'!C54,-'Operating Forecast'!D28-'Assumptions'!D54,-'Operating Forecast'!E28-'Assumptions'!E54,-'Operating Forecast'!F28-'Assumptions'!F54,-'Operating Forecast'!G28-'Assumptions'!G54)</x:f>
        <x:v>0</x:v>
      </x:c>
      <x:c r="D23" s="102" t="n">
        <x:v>0</x:v>
      </x:c>
      <x:c r="E23" s="267" t="n">
        <x:v>0.0001</x:v>
      </x:c>
      <x:c r="F23" s="90" t="str">
        <x:f>IF(C23&gt;=-E23,"PASS","FAIL")</x:f>
        <x:v>PASS</x:v>
      </x:c>
      <x:c r="G23" s="90"/>
      <x:c r="H23" s="90"/>
      <x:c r="I23" s="90"/>
      <x:c r="J23" s="90"/>
    </x:row>
    <x:row r="24" ht="21" hidden="0" customHeight="1">
      <x:c r="A24" s="90"/>
      <x:c r="B24" s="90"/>
      <x:c r="C24" s="90"/>
      <x:c r="D24" s="90"/>
      <x:c r="E24" s="90"/>
      <x:c r="F24" s="90"/>
      <x:c r="G24" s="90"/>
      <x:c r="H24" s="90"/>
      <x:c r="I24" s="90"/>
      <x:c r="J24" s="90"/>
    </x:row>
    <x:row r="25" ht="21" hidden="0" customHeight="1">
      <x:c r="A25" s="90"/>
      <x:c r="B25" s="90"/>
      <x:c r="C25" s="90"/>
      <x:c r="D25" s="90"/>
      <x:c r="E25" s="90"/>
      <x:c r="F25" s="90"/>
      <x:c r="G25" s="90"/>
      <x:c r="H25" s="90"/>
      <x:c r="I25" s="90"/>
      <x:c r="J25" s="90"/>
    </x:row>
    <x:row r="26" ht="21" hidden="0" customHeight="1">
      <x:c r="A26" s="90"/>
      <x:c r="B26" s="90"/>
      <x:c r="C26" s="90"/>
      <x:c r="D26" s="90"/>
      <x:c r="E26" s="90"/>
      <x:c r="F26" s="90"/>
      <x:c r="G26" s="90"/>
      <x:c r="H26" s="90"/>
      <x:c r="I26" s="90"/>
      <x:c r="J26" s="90"/>
    </x:row>
    <x:row r="27" ht="21" hidden="0" customHeight="1">
      <x:c r="A27" s="90"/>
      <x:c r="B27" s="90" t="str">
        <x:v>Calculation status</x:v>
      </x:c>
      <x:c r="C27" s="90"/>
      <x:c r="D27" s="90"/>
      <x:c r="E27" s="90"/>
      <x:c r="F27" s="90" t="str">
        <x:f>IF(COUNTIF(F6:F23,"FAIL")=0,"PASS","FAIL")</x:f>
        <x:v>PASS</x:v>
      </x:c>
      <x:c r="G27" s="90"/>
      <x:c r="H27" s="90"/>
      <x:c r="I27" s="90"/>
      <x:c r="J27" s="90"/>
    </x:row>
    <x:row r="28" ht="21" hidden="0" customHeight="1">
      <x:c r="A28" s="90"/>
      <x:c r="B28" s="90"/>
      <x:c r="C28" s="90"/>
      <x:c r="D28" s="90"/>
      <x:c r="E28" s="90"/>
      <x:c r="F28" s="90"/>
      <x:c r="G28" s="90"/>
      <x:c r="H28" s="90"/>
      <x:c r="I28" s="90"/>
      <x:c r="J28" s="90"/>
    </x:row>
    <x:row r="29" ht="21" hidden="0" customHeight="1">
      <x:c r="A29" s="90"/>
      <x:c r="B29" s="90"/>
      <x:c r="C29" s="90"/>
      <x:c r="D29" s="90"/>
      <x:c r="E29" s="90"/>
      <x:c r="F29" s="90"/>
      <x:c r="G29" s="90"/>
      <x:c r="H29" s="90"/>
      <x:c r="I29" s="90"/>
      <x:c r="J29" s="90"/>
    </x:row>
    <x:row r="30" ht="21" hidden="0" customHeight="1">
      <x:c r="A30" s="90"/>
      <x:c r="B30" s="90" t="str">
        <x:v>Operating financing requirement</x:v>
      </x:c>
      <x:c r="C30" s="199" t="n">
        <x:f>SUM('Operating Forecast'!C39,'Operating Forecast'!D39,'Operating Forecast'!E39,'Operating Forecast'!F39,'Operating Forecast'!G39)</x:f>
        <x:v>0</x:v>
      </x:c>
      <x:c r="D30" s="90"/>
      <x:c r="E30" s="90"/>
      <x:c r="F30" s="90"/>
      <x:c r="G30" s="90"/>
      <x:c r="H30" s="90"/>
      <x:c r="I30" s="90"/>
      <x:c r="J30" s="90"/>
    </x:row>
    <x:row r="31" ht="21" hidden="0" customHeight="1">
      <x:c r="A31" s="90"/>
      <x:c r="B31" s="90" t="str">
        <x:v>Teaching case financing requirement</x:v>
      </x:c>
      <x:c r="C31" s="199" t="n">
        <x:f>'Acquisition Returns'!C42</x:f>
        <x:v>0</x:v>
      </x:c>
      <x:c r="D31" s="90"/>
      <x:c r="E31" s="90"/>
      <x:c r="F31" s="90"/>
      <x:c r="G31" s="90"/>
      <x:c r="H31" s="90"/>
      <x:c r="I31" s="90"/>
      <x:c r="J31" s="90"/>
    </x:row>
    <x:row r="32" ht="21" hidden="0" customHeight="1">
      <x:c r="A32" s="90"/>
      <x:c r="B32" s="90"/>
      <x:c r="C32" s="90"/>
      <x:c r="D32" s="90"/>
      <x:c r="E32" s="90"/>
      <x:c r="F32" s="90"/>
      <x:c r="G32" s="90"/>
      <x:c r="H32" s="90"/>
      <x:c r="I32" s="90"/>
      <x:c r="J32" s="90"/>
    </x:row>
    <x:row r="33" ht="21" hidden="0" customHeight="1">
      <x:c r="A33" s="90"/>
      <x:c r="B33" s="90"/>
      <x:c r="C33" s="90"/>
      <x:c r="D33" s="90"/>
      <x:c r="E33" s="90"/>
      <x:c r="F33" s="90"/>
      <x:c r="G33" s="90"/>
      <x:c r="H33" s="90"/>
      <x:c r="I33" s="90"/>
      <x:c r="J33" s="90"/>
    </x:row>
    <x:row r="34" ht="21" hidden="0" customHeight="1">
      <x:c r="A34" s="90"/>
      <x:c r="B34" s="90"/>
      <x:c r="C34" s="90"/>
      <x:c r="D34" s="90"/>
      <x:c r="E34" s="90"/>
      <x:c r="F34" s="90"/>
      <x:c r="G34" s="90"/>
      <x:c r="H34" s="90"/>
      <x:c r="I34" s="90"/>
      <x:c r="J34" s="90"/>
    </x:row>
    <x:row r="35" ht="21" hidden="0" customHeight="1">
      <x:c r="A35" s="90"/>
      <x:c r="B35" s="111" t="str">
        <x:v>PASS means the listed calculations reconcile. Financing amounts are shown separately. Demand, margins, reinvestment, liquidity and realization values remain assumptions that must be tested together.</x:v>
      </x:c>
      <x:c r="C35" s="111"/>
      <x:c r="D35" s="111"/>
      <x:c r="E35" s="111"/>
      <x:c r="F35" s="111"/>
      <x:c r="G35" s="111"/>
      <x:c r="H35" s="111"/>
      <x:c r="I35" s="111"/>
      <x:c r="J35" s="111"/>
    </x:row>
    <x:row r="36" ht="21" hidden="0" customHeight="1">
      <x:c r="A36" s="90"/>
      <x:c r="B36" s="111"/>
      <x:c r="C36" s="111"/>
      <x:c r="D36" s="111"/>
      <x:c r="E36" s="111"/>
      <x:c r="F36" s="111"/>
      <x:c r="G36" s="111"/>
      <x:c r="H36" s="111"/>
      <x:c r="I36" s="111"/>
      <x:c r="J36" s="111"/>
    </x:row>
    <x:row r="37" ht="21" hidden="0" customHeight="1">
      <x:c r="A37" s="90"/>
      <x:c r="B37" s="111"/>
      <x:c r="C37" s="111"/>
      <x:c r="D37" s="111"/>
      <x:c r="E37" s="111"/>
      <x:c r="F37" s="111"/>
      <x:c r="G37" s="111"/>
      <x:c r="H37" s="111"/>
      <x:c r="I37" s="111"/>
      <x:c r="J37" s="111"/>
    </x:row>
    <x:row r="38" ht="21" hidden="0" customHeight="1">
      <x:c r="A38" s="90"/>
      <x:c r="B38" s="90"/>
      <x:c r="C38" s="90"/>
      <x:c r="D38" s="90"/>
      <x:c r="E38" s="90"/>
      <x:c r="F38" s="90"/>
      <x:c r="G38" s="90"/>
      <x:c r="H38" s="90"/>
      <x:c r="I38" s="90"/>
      <x:c r="J38" s="90"/>
    </x:row>
    <x:row r="39" ht="21" hidden="0" customHeight="1">
      <x:c r="A39" s="90"/>
      <x:c r="B39" s="90"/>
      <x:c r="C39" s="90"/>
      <x:c r="D39" s="90"/>
      <x:c r="E39" s="90"/>
      <x:c r="F39" s="90"/>
      <x:c r="G39" s="90"/>
      <x:c r="H39" s="90"/>
      <x:c r="I39" s="90"/>
      <x:c r="J39" s="90"/>
    </x:row>
    <x:row r="40" ht="21" hidden="0" customHeight="1">
      <x:c r="A40" s="90"/>
      <x:c r="B40" s="90"/>
      <x:c r="C40" s="90"/>
      <x:c r="D40" s="90"/>
      <x:c r="E40" s="90"/>
      <x:c r="F40" s="90"/>
      <x:c r="G40" s="90"/>
      <x:c r="H40" s="90"/>
      <x:c r="I40" s="90"/>
      <x:c r="J40" s="90"/>
    </x:row>
    <x:row r="41" ht="21" hidden="0" customHeight="1">
      <x:c r="A41" s="90"/>
      <x:c r="B41" s="90"/>
      <x:c r="C41" s="90"/>
      <x:c r="D41" s="90"/>
      <x:c r="E41" s="90"/>
      <x:c r="F41" s="90"/>
      <x:c r="G41" s="90"/>
      <x:c r="H41" s="90"/>
      <x:c r="I41" s="90"/>
      <x:c r="J41" s="90"/>
    </x:row>
    <x:row r="42" ht="21" hidden="0" customHeight="1">
      <x:c r="A42" s="90"/>
      <x:c r="B42" s="90"/>
      <x:c r="C42" s="90"/>
      <x:c r="D42" s="90"/>
      <x:c r="E42" s="90"/>
      <x:c r="F42" s="90"/>
      <x:c r="G42" s="90"/>
      <x:c r="H42" s="90"/>
      <x:c r="I42" s="90"/>
      <x:c r="J42" s="90"/>
    </x:row>
    <x:row r="43" ht="21" hidden="0" customHeight="1">
      <x:c r="A43" s="90"/>
      <x:c r="B43" s="90"/>
      <x:c r="C43" s="90"/>
      <x:c r="D43" s="90"/>
      <x:c r="E43" s="90"/>
      <x:c r="F43" s="90"/>
      <x:c r="G43" s="90"/>
      <x:c r="H43" s="90"/>
      <x:c r="I43" s="90"/>
      <x:c r="J43" s="90"/>
    </x:row>
    <x:row r="44" ht="21" hidden="0" customHeight="1">
      <x:c r="A44" s="90"/>
      <x:c r="B44" s="90"/>
      <x:c r="C44" s="90"/>
      <x:c r="D44" s="90"/>
      <x:c r="E44" s="90"/>
      <x:c r="F44" s="90"/>
      <x:c r="G44" s="90"/>
      <x:c r="H44" s="90"/>
      <x:c r="I44" s="90"/>
      <x:c r="J44" s="90"/>
    </x:row>
    <x:row r="45" ht="21" hidden="0" customHeight="1">
      <x:c r="A45" s="90"/>
      <x:c r="B45" s="90"/>
      <x:c r="C45" s="90"/>
      <x:c r="D45" s="90"/>
      <x:c r="E45" s="90"/>
      <x:c r="F45" s="90"/>
      <x:c r="G45" s="90"/>
      <x:c r="H45" s="90"/>
      <x:c r="I45" s="90"/>
      <x:c r="J45" s="90"/>
    </x:row>
    <x:row r="46" ht="21" hidden="0" customHeight="1">
      <x:c r="A46" s="90"/>
      <x:c r="B46" s="90"/>
      <x:c r="C46" s="90"/>
      <x:c r="D46" s="90"/>
      <x:c r="E46" s="90"/>
      <x:c r="F46" s="90"/>
      <x:c r="G46" s="90"/>
      <x:c r="H46" s="90"/>
      <x:c r="I46" s="90"/>
      <x:c r="J46" s="90"/>
    </x:row>
    <x:row r="47" ht="21" hidden="0" customHeight="1">
      <x:c r="A47" s="90"/>
      <x:c r="B47" s="90"/>
      <x:c r="C47" s="90"/>
      <x:c r="D47" s="90"/>
      <x:c r="E47" s="90"/>
      <x:c r="F47" s="90"/>
      <x:c r="G47" s="90"/>
      <x:c r="H47" s="90"/>
      <x:c r="I47" s="90"/>
      <x:c r="J47" s="90"/>
    </x:row>
    <x:row r="48" ht="21" hidden="0" customHeight="1">
      <x:c r="A48" s="90"/>
      <x:c r="B48" s="90"/>
      <x:c r="C48" s="90"/>
      <x:c r="D48" s="90"/>
      <x:c r="E48" s="90"/>
      <x:c r="F48" s="90"/>
      <x:c r="G48" s="90"/>
      <x:c r="H48" s="90"/>
      <x:c r="I48" s="90"/>
      <x:c r="J48" s="90"/>
    </x:row>
    <x:row r="49" ht="21" hidden="0" customHeight="1">
      <x:c r="A49" s="90"/>
      <x:c r="B49" s="90"/>
      <x:c r="C49" s="90"/>
      <x:c r="D49" s="90"/>
      <x:c r="E49" s="90"/>
      <x:c r="F49" s="90"/>
      <x:c r="G49" s="90"/>
      <x:c r="H49" s="90"/>
      <x:c r="I49" s="90"/>
      <x:c r="J49" s="90"/>
    </x:row>
    <x:row r="50" ht="21" hidden="0" customHeight="1">
      <x:c r="A50" s="90"/>
      <x:c r="B50" s="90"/>
      <x:c r="C50" s="90"/>
      <x:c r="D50" s="90"/>
      <x:c r="E50" s="90"/>
      <x:c r="F50" s="90"/>
      <x:c r="G50" s="90"/>
      <x:c r="H50" s="90"/>
      <x:c r="I50" s="90"/>
      <x:c r="J50" s="90"/>
    </x:row>
    <x:row r="51" ht="21" customHeight="1">
      <x:c r="A51" s="90"/>
      <x:c r="B51" s="90"/>
      <x:c r="C51" s="90"/>
      <x:c r="D51" s="90"/>
      <x:c r="E51" s="90"/>
      <x:c r="F51" s="90"/>
      <x:c r="G51" s="90"/>
      <x:c r="H51" s="90"/>
      <x:c r="I51" s="90"/>
      <x:c r="J51" s="90"/>
    </x:row>
    <x:row r="52" ht="21" customHeight="1">
      <x:c r="A52" s="90"/>
      <x:c r="B52" s="90"/>
      <x:c r="C52" s="90"/>
      <x:c r="D52" s="90"/>
      <x:c r="E52" s="90"/>
      <x:c r="F52" s="90"/>
      <x:c r="G52" s="90"/>
      <x:c r="H52" s="90"/>
      <x:c r="I52" s="90"/>
      <x:c r="J52" s="90"/>
    </x:row>
    <x:row r="53" ht="21" customHeight="1">
      <x:c r="A53" s="90"/>
      <x:c r="B53" s="90"/>
      <x:c r="C53" s="90"/>
      <x:c r="D53" s="90"/>
      <x:c r="E53" s="90"/>
      <x:c r="F53" s="90"/>
      <x:c r="G53" s="90"/>
      <x:c r="H53" s="90"/>
      <x:c r="I53" s="90"/>
      <x:c r="J53" s="90"/>
    </x:row>
    <x:row r="54" ht="21" customHeight="1">
      <x:c r="A54" s="90"/>
      <x:c r="B54" s="90"/>
      <x:c r="C54" s="90"/>
      <x:c r="D54" s="90"/>
      <x:c r="E54" s="90"/>
      <x:c r="F54" s="90"/>
      <x:c r="G54" s="90"/>
      <x:c r="H54" s="90"/>
      <x:c r="I54" s="90"/>
      <x:c r="J54" s="90"/>
    </x:row>
    <x:row r="55" ht="21" customHeight="1">
      <x:c r="A55" s="90"/>
      <x:c r="B55" s="90"/>
      <x:c r="C55" s="90"/>
      <x:c r="D55" s="90"/>
      <x:c r="E55" s="90"/>
      <x:c r="F55" s="90"/>
      <x:c r="G55" s="90"/>
      <x:c r="H55" s="90"/>
      <x:c r="I55" s="90"/>
      <x:c r="J55" s="90"/>
    </x:row>
    <x:row r="56" ht="21" customHeight="1">
      <x:c r="A56" s="90"/>
      <x:c r="B56" s="90"/>
      <x:c r="C56" s="90"/>
      <x:c r="D56" s="90"/>
      <x:c r="E56" s="90"/>
      <x:c r="F56" s="90"/>
      <x:c r="G56" s="90"/>
      <x:c r="H56" s="90"/>
      <x:c r="I56" s="90"/>
      <x:c r="J56" s="90"/>
    </x:row>
    <x:row r="57" ht="21" customHeight="1">
      <x:c r="A57" s="90"/>
      <x:c r="B57" s="90"/>
      <x:c r="C57" s="90"/>
      <x:c r="D57" s="90"/>
      <x:c r="E57" s="90"/>
      <x:c r="F57" s="90"/>
      <x:c r="G57" s="90"/>
      <x:c r="H57" s="90"/>
      <x:c r="I57" s="90"/>
      <x:c r="J57" s="90"/>
    </x:row>
    <x:row r="58" ht="21" customHeight="1">
      <x:c r="A58" s="90"/>
      <x:c r="B58" s="90"/>
      <x:c r="C58" s="90"/>
      <x:c r="D58" s="90"/>
      <x:c r="E58" s="90"/>
      <x:c r="F58" s="90"/>
      <x:c r="G58" s="90"/>
      <x:c r="H58" s="90"/>
      <x:c r="I58" s="90"/>
      <x:c r="J58" s="90"/>
    </x:row>
  </x:sheetData>
  <x:mergeCells>
    <x:mergeCell ref="A1:J1"/>
    <x:mergeCell ref="A2:J3"/>
    <x:mergeCell ref="B35:J37"/>
  </x:mergeCells>
  <x:conditionalFormatting sqref="F6:F27">
    <x:cfRule type="containsText" dxfId="0" priority="1" operator="containsText" text="FAIL"/>
  </x:conditionalFormatting>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2" hidden="0" customWidth="1"/>
    <x:col min="2" max="2" width="48"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2" customHeight="1">
      <x:c r="A1" s="92" t="str">
        <x:v>NVIDIA | SOURCE INPUTS</x:v>
      </x:c>
      <x:c r="B1" s="92"/>
      <x:c r="C1" s="92"/>
      <x:c r="D1" s="92"/>
      <x:c r="E1" s="92"/>
      <x:c r="F1" s="92"/>
      <x:c r="G1" s="92"/>
      <x:c r="H1" s="92"/>
      <x:c r="I1" s="92"/>
      <x:c r="J1" s="92"/>
    </x:row>
    <x:row r="2" ht="21" customHeight="1">
      <x:c r="A2" s="94" t="str">
        <x:v>US$ millions except shares, per-share amounts and ratios. Latest reported balance: July 26, 2026.</x:v>
      </x:c>
      <x:c r="B2" s="94"/>
      <x:c r="C2" s="94"/>
      <x:c r="D2" s="94"/>
      <x:c r="E2" s="94"/>
      <x:c r="F2" s="94"/>
      <x:c r="G2" s="94"/>
      <x:c r="H2" s="94"/>
      <x:c r="I2" s="94"/>
      <x:c r="J2" s="94"/>
    </x:row>
    <x:row r="3" ht="21" customHeight="1">
      <x:c r="A3" s="94"/>
      <x:c r="B3" s="94"/>
      <x:c r="C3" s="94"/>
      <x:c r="D3" s="94"/>
      <x:c r="E3" s="94"/>
      <x:c r="F3" s="94"/>
      <x:c r="G3" s="94"/>
      <x:c r="H3" s="94"/>
      <x:c r="I3" s="94"/>
      <x:c r="J3" s="94"/>
    </x:row>
    <x:row r="4" ht="21" customHeight="1">
      <x:c r="A4" s="90"/>
      <x:c r="B4" s="90"/>
      <x:c r="C4" s="90"/>
      <x:c r="D4" s="90"/>
      <x:c r="E4" s="90"/>
      <x:c r="F4" s="90"/>
      <x:c r="G4" s="90"/>
      <x:c r="H4" s="90"/>
      <x:c r="I4" s="90"/>
      <x:c r="J4" s="90"/>
    </x:row>
    <x:row r="5" ht="26" customHeight="1">
      <x:c r="A5" s="90"/>
      <x:c r="B5" s="90" t="str">
        <x:v>Valuation date</x:v>
      </x:c>
      <x:c r="C5" s="98" t="n">
        <x:v>46269</x:v>
      </x:c>
      <x:c r="D5" s="96" t="str">
        <x:v>Assumption: retained pricing date</x:v>
      </x:c>
      <x:c r="E5" s="96"/>
      <x:c r="F5" s="96"/>
      <x:c r="G5" s="96"/>
      <x:c r="H5" s="96"/>
      <x:c r="I5" s="96"/>
      <x:c r="J5" s="96"/>
    </x:row>
    <x:row r="6" ht="26" customHeight="1">
      <x:c r="A6" s="90"/>
      <x:c r="B6" s="90" t="str">
        <x:v>Opening balance date</x:v>
      </x:c>
      <x:c r="C6" s="95" t="n">
        <x:v>46229</x:v>
      </x:c>
      <x:c r="D6" s="96" t="str">
        <x:v>Q2 FY2027</x:v>
      </x:c>
      <x:c r="E6" s="96"/>
      <x:c r="F6" s="96"/>
      <x:c r="G6" s="96"/>
      <x:c r="H6" s="96"/>
      <x:c r="I6" s="96"/>
      <x:c r="J6" s="96"/>
    </x:row>
    <x:row r="7" ht="26" customHeight="1">
      <x:c r="A7" s="90"/>
      <x:c r="B7" s="90" t="str">
        <x:v>Share price assumption</x:v>
      </x:c>
      <x:c r="C7" s="101" t="n">
        <x:v>230.36</x:v>
      </x:c>
      <x:c r="D7" s="96" t="str">
        <x:v>Assumption: supplied September 4, 2026 price</x:v>
      </x:c>
      <x:c r="E7" s="96"/>
      <x:c r="F7" s="96"/>
      <x:c r="G7" s="96"/>
      <x:c r="H7" s="96"/>
      <x:c r="I7" s="96"/>
      <x:c r="J7" s="96"/>
    </x:row>
    <x:row r="8" ht="26" customHeight="1">
      <x:c r="A8" s="90"/>
      <x:c r="B8" s="90" t="str">
        <x:v>Basic shares for market capitalization</x:v>
      </x:c>
      <x:c r="C8" s="102" t="n">
        <x:v>24147</x:v>
      </x:c>
      <x:c r="D8" s="96" t="str">
        <x:v>July 26 outstanding shares; carried forward as an assumption</x:v>
      </x:c>
      <x:c r="E8" s="96"/>
      <x:c r="F8" s="96"/>
      <x:c r="G8" s="96"/>
      <x:c r="H8" s="96"/>
      <x:c r="I8" s="96"/>
      <x:c r="J8" s="96"/>
    </x:row>
    <x:row r="9" ht="26" customHeight="1">
      <x:c r="A9" s="90"/>
      <x:c r="B9" s="90" t="str">
        <x:v>Incremental diluted shares</x:v>
      </x:c>
      <x:c r="C9" s="104" t="n">
        <x:v>95</x:v>
      </x:c>
      <x:c r="D9" s="96" t="str">
        <x:v>Assumption: Q2 diluted less basic average shares</x:v>
      </x:c>
      <x:c r="E9" s="96"/>
      <x:c r="F9" s="96"/>
      <x:c r="G9" s="96"/>
      <x:c r="H9" s="96"/>
      <x:c r="I9" s="96"/>
      <x:c r="J9" s="96"/>
    </x:row>
    <x:row r="10" ht="26" customHeight="1">
      <x:c r="A10" s="90"/>
      <x:c r="B10" s="90" t="str">
        <x:v>Cash and equivalents</x:v>
      </x:c>
      <x:c r="C10" s="102" t="n">
        <x:v>22443</x:v>
      </x:c>
      <x:c r="D10" s="96" t="str">
        <x:v>Q2 balance sheet</x:v>
      </x:c>
      <x:c r="E10" s="96"/>
      <x:c r="F10" s="96"/>
      <x:c r="G10" s="96"/>
      <x:c r="H10" s="96"/>
      <x:c r="I10" s="96"/>
      <x:c r="J10" s="96"/>
    </x:row>
    <x:row r="11" ht="26" customHeight="1">
      <x:c r="A11" s="90"/>
      <x:c r="B11" s="90" t="str">
        <x:v>Marketable debt securities</x:v>
      </x:c>
      <x:c r="C11" s="102" t="n">
        <x:v>34143</x:v>
      </x:c>
      <x:c r="D11" s="96" t="str">
        <x:v>Q2 balance sheet; liquid portfolio</x:v>
      </x:c>
      <x:c r="E11" s="96"/>
      <x:c r="F11" s="96"/>
      <x:c r="G11" s="96"/>
      <x:c r="H11" s="96"/>
      <x:c r="I11" s="96"/>
      <x:c r="J11" s="96"/>
    </x:row>
    <x:row r="12" ht="26" customHeight="1">
      <x:c r="A12" s="90"/>
      <x:c r="B12" s="90" t="str">
        <x:v>Marketable equity securities</x:v>
      </x:c>
      <x:c r="C12" s="102" t="n">
        <x:v>42783</x:v>
      </x:c>
      <x:c r="D12" s="96" t="str">
        <x:v>Q2 balance sheet; not cash</x:v>
      </x:c>
      <x:c r="E12" s="96"/>
      <x:c r="F12" s="96"/>
      <x:c r="G12" s="96"/>
      <x:c r="H12" s="96"/>
      <x:c r="I12" s="96"/>
      <x:c r="J12" s="96"/>
    </x:row>
    <x:row r="13" ht="26" customHeight="1">
      <x:c r="A13" s="90"/>
      <x:c r="B13" s="90" t="str">
        <x:v>Nonmarketable securities</x:v>
      </x:c>
      <x:c r="C13" s="102" t="n">
        <x:v>51157</x:v>
      </x:c>
      <x:c r="D13" s="96" t="str">
        <x:v>Q2 balance sheet</x:v>
      </x:c>
      <x:c r="E13" s="96"/>
      <x:c r="F13" s="96"/>
      <x:c r="G13" s="96"/>
      <x:c r="H13" s="96"/>
      <x:c r="I13" s="96"/>
      <x:c r="J13" s="96"/>
    </x:row>
    <x:row r="14" ht="26" customHeight="1">
      <x:c r="A14" s="90"/>
      <x:c r="B14" s="90" t="str">
        <x:v>Debt principal</x:v>
      </x:c>
      <x:c r="C14" s="102" t="n">
        <x:v>33500</x:v>
      </x:c>
      <x:c r="D14" s="96" t="str">
        <x:v>Q2 10-Q debt note; carrying amount 33,366</x:v>
      </x:c>
      <x:c r="E14" s="96"/>
      <x:c r="F14" s="96"/>
      <x:c r="G14" s="96"/>
      <x:c r="H14" s="96"/>
      <x:c r="I14" s="96"/>
      <x:c r="J14" s="96"/>
    </x:row>
    <x:row r="15" ht="26" customHeight="1">
      <x:c r="A15" s="90"/>
      <x:c r="B15" s="90" t="str">
        <x:v>Minimum operating cash</x:v>
      </x:c>
      <x:c r="C15" s="104" t="n">
        <x:v>10000</x:v>
      </x:c>
      <x:c r="D15" s="96" t="str">
        <x:v>Assumption: retained liquidity</x:v>
      </x:c>
      <x:c r="E15" s="96"/>
      <x:c r="F15" s="96"/>
      <x:c r="G15" s="96"/>
      <x:c r="H15" s="96"/>
      <x:c r="I15" s="96"/>
      <x:c r="J15" s="96"/>
    </x:row>
    <x:row r="16" ht="26" customHeight="1">
      <x:c r="A16" s="90"/>
      <x:c r="B16" s="90" t="str">
        <x:v>Marketable equity value retained</x:v>
      </x:c>
      <x:c r="C16" s="107" t="n">
        <x:v>0.8</x:v>
      </x:c>
      <x:c r="D16" s="96" t="str">
        <x:v>Assumption: combined tax and realization haircut</x:v>
      </x:c>
      <x:c r="E16" s="96"/>
      <x:c r="F16" s="96"/>
      <x:c r="G16" s="96"/>
      <x:c r="H16" s="96"/>
      <x:c r="I16" s="96"/>
      <x:c r="J16" s="96"/>
    </x:row>
    <x:row r="17" ht="26" customHeight="1">
      <x:c r="A17" s="90"/>
      <x:c r="B17" s="90" t="str">
        <x:v>Private investment value retained</x:v>
      </x:c>
      <x:c r="C17" s="107" t="n">
        <x:v>0.5</x:v>
      </x:c>
      <x:c r="D17" s="96" t="str">
        <x:v>Assumption: realization haircut</x:v>
      </x:c>
      <x:c r="E17" s="96"/>
      <x:c r="F17" s="96"/>
      <x:c r="G17" s="96"/>
      <x:c r="H17" s="96"/>
      <x:c r="I17" s="96"/>
      <x:c r="J17" s="96"/>
    </x:row>
    <x:row r="18" ht="26" customHeight="1">
      <x:c r="A18" s="90"/>
      <x:c r="B18" s="90" t="str">
        <x:v>Intervening net cash adjustment</x:v>
      </x:c>
      <x:c r="C18" s="104" t="n">
        <x:v>0</x:v>
      </x:c>
      <x:c r="D18" s="96" t="str">
        <x:v>Assumption: July 26 to September 4</x:v>
      </x:c>
      <x:c r="E18" s="96"/>
      <x:c r="F18" s="96"/>
      <x:c r="G18" s="96"/>
      <x:c r="H18" s="96"/>
      <x:c r="I18" s="96"/>
      <x:c r="J18" s="96"/>
    </x:row>
    <x:row r="19" ht="26" customHeight="1">
      <x:c r="A19" s="90"/>
      <x:c r="B19" s="90" t="str">
        <x:v>H1 revenue</x:v>
      </x:c>
      <x:c r="C19" s="102" t="n">
        <x:v>177837</x:v>
      </x:c>
      <x:c r="D19" s="96" t="str">
        <x:v>Q2 income statement</x:v>
      </x:c>
      <x:c r="E19" s="96"/>
      <x:c r="F19" s="96"/>
      <x:c r="G19" s="96"/>
      <x:c r="H19" s="96"/>
      <x:c r="I19" s="96"/>
      <x:c r="J19" s="96"/>
    </x:row>
    <x:row r="20" ht="26" customHeight="1">
      <x:c r="A20" s="90"/>
      <x:c r="B20" s="90" t="str">
        <x:v>H1 GAAP operating income</x:v>
      </x:c>
      <x:c r="C20" s="102" t="n">
        <x:v>117270</x:v>
      </x:c>
      <x:c r="D20" s="96" t="str">
        <x:v>Q2 income statement</x:v>
      </x:c>
      <x:c r="E20" s="96"/>
      <x:c r="F20" s="96"/>
      <x:c r="G20" s="96"/>
      <x:c r="H20" s="96"/>
      <x:c r="I20" s="96"/>
      <x:c r="J20" s="96"/>
    </x:row>
    <x:row r="21" ht="26" customHeight="1">
      <x:c r="A21" s="90"/>
      <x:c r="B21" s="90" t="str">
        <x:v>H1 depreciation and amortization</x:v>
      </x:c>
      <x:c r="C21" s="102" t="n">
        <x:v>2124</x:v>
      </x:c>
      <x:c r="D21" s="96" t="str">
        <x:v>Q2 cash flow</x:v>
      </x:c>
      <x:c r="E21" s="96"/>
      <x:c r="F21" s="96"/>
      <x:c r="G21" s="96"/>
      <x:c r="H21" s="96"/>
      <x:c r="I21" s="96"/>
      <x:c r="J21" s="96"/>
    </x:row>
    <x:row r="22" ht="26" customHeight="1">
      <x:c r="A22" s="90"/>
      <x:c r="B22" s="90" t="str">
        <x:v>H1 stock compensation</x:v>
      </x:c>
      <x:c r="C22" s="102" t="n">
        <x:v>3954</x:v>
      </x:c>
      <x:c r="D22" s="96" t="str">
        <x:v>Q2 cash flow; expensed in GAAP EBIT</x:v>
      </x:c>
      <x:c r="E22" s="96"/>
      <x:c r="F22" s="96"/>
      <x:c r="G22" s="96"/>
      <x:c r="H22" s="96"/>
      <x:c r="I22" s="96"/>
      <x:c r="J22" s="96"/>
    </x:row>
    <x:row r="23" ht="26" customHeight="1">
      <x:c r="A23" s="90"/>
      <x:c r="B23" s="90" t="str">
        <x:v>H1 capital cash expenditure</x:v>
      </x:c>
      <x:c r="C23" s="102" t="n">
        <x:v>4526</x:v>
      </x:c>
      <x:c r="D23" s="96" t="str">
        <x:v>Purchases 4,434 + capital principal payments 92</x:v>
      </x:c>
      <x:c r="E23" s="96"/>
      <x:c r="F23" s="96"/>
      <x:c r="G23" s="96"/>
      <x:c r="H23" s="96"/>
      <x:c r="I23" s="96"/>
      <x:c r="J23" s="96"/>
    </x:row>
    <x:row r="24" ht="26" customHeight="1">
      <x:c r="A24" s="90"/>
      <x:c r="B24" s="90" t="str">
        <x:v>H1 operating cash flow</x:v>
      </x:c>
      <x:c r="C24" s="102" t="n">
        <x:v>74421</x:v>
      </x:c>
      <x:c r="D24" s="96" t="str">
        <x:v>Q2 cash flow</x:v>
      </x:c>
      <x:c r="E24" s="96"/>
      <x:c r="F24" s="96"/>
      <x:c r="G24" s="96"/>
      <x:c r="H24" s="96"/>
      <x:c r="I24" s="96"/>
      <x:c r="J24" s="96"/>
    </x:row>
    <x:row r="25" ht="26" customHeight="1">
      <x:c r="A25" s="90"/>
      <x:c r="B25" s="90" t="str">
        <x:v>H1 net income</x:v>
      </x:c>
      <x:c r="C25" s="102" t="n">
        <x:v>118010</x:v>
      </x:c>
      <x:c r="D25" s="96" t="str">
        <x:v>Q2 income statement; includes equity gains</x:v>
      </x:c>
      <x:c r="E25" s="96"/>
      <x:c r="F25" s="96"/>
      <x:c r="G25" s="96"/>
      <x:c r="H25" s="96"/>
      <x:c r="I25" s="96"/>
      <x:c r="J25" s="96"/>
    </x:row>
    <x:row r="26" ht="26" customHeight="1">
      <x:c r="A26" s="90"/>
      <x:c r="B26" s="90" t="str">
        <x:v>H1 equity investment gains</x:v>
      </x:c>
      <x:c r="C26" s="102" t="n">
        <x:v>23707</x:v>
      </x:c>
      <x:c r="D26" s="96" t="str">
        <x:v>Q2 cash flow reconciliation; not forecast earnings</x:v>
      </x:c>
      <x:c r="E26" s="96"/>
      <x:c r="F26" s="96"/>
      <x:c r="G26" s="96"/>
      <x:c r="H26" s="96"/>
      <x:c r="I26" s="96"/>
      <x:c r="J26" s="96"/>
    </x:row>
    <x:row r="27" ht="26" customHeight="1">
      <x:c r="A27" s="90"/>
      <x:c r="B27" s="90" t="str">
        <x:v>Receivables</x:v>
      </x:c>
      <x:c r="C27" s="102" t="n">
        <x:v>63059</x:v>
      </x:c>
      <x:c r="D27" s="96" t="str">
        <x:v>Q2 balance sheet</x:v>
      </x:c>
      <x:c r="E27" s="96"/>
      <x:c r="F27" s="96"/>
      <x:c r="G27" s="96"/>
      <x:c r="H27" s="96"/>
      <x:c r="I27" s="96"/>
      <x:c r="J27" s="96"/>
    </x:row>
    <x:row r="28" ht="26" customHeight="1">
      <x:c r="A28" s="90"/>
      <x:c r="B28" s="90" t="str">
        <x:v>Inventory</x:v>
      </x:c>
      <x:c r="C28" s="102" t="n">
        <x:v>31575</x:v>
      </x:c>
      <x:c r="D28" s="96" t="str">
        <x:v>Q2 balance sheet</x:v>
      </x:c>
      <x:c r="E28" s="96"/>
      <x:c r="F28" s="96"/>
      <x:c r="G28" s="96"/>
      <x:c r="H28" s="96"/>
      <x:c r="I28" s="96"/>
      <x:c r="J28" s="96"/>
    </x:row>
    <x:row r="29" ht="26" customHeight="1">
      <x:c r="A29" s="90"/>
      <x:c r="B29" s="90" t="str">
        <x:v>Prepaid and other current assets</x:v>
      </x:c>
      <x:c r="C29" s="102" t="n">
        <x:v>3409</x:v>
      </x:c>
      <x:c r="D29" s="96" t="str">
        <x:v>Q2 balance sheet</x:v>
      </x:c>
      <x:c r="E29" s="96"/>
      <x:c r="F29" s="96"/>
      <x:c r="G29" s="96"/>
      <x:c r="H29" s="96"/>
      <x:c r="I29" s="96"/>
      <x:c r="J29" s="96"/>
    </x:row>
    <x:row r="30" ht="26" customHeight="1">
      <x:c r="A30" s="90"/>
      <x:c r="B30" s="90" t="str">
        <x:v>Accounts payable</x:v>
      </x:c>
      <x:c r="C30" s="102" t="n">
        <x:v>15059</x:v>
      </x:c>
      <x:c r="D30" s="96" t="str">
        <x:v>Q2 balance sheet</x:v>
      </x:c>
      <x:c r="E30" s="96"/>
      <x:c r="F30" s="96"/>
      <x:c r="G30" s="96"/>
      <x:c r="H30" s="96"/>
      <x:c r="I30" s="96"/>
      <x:c r="J30" s="96"/>
    </x:row>
    <x:row r="31" ht="26" customHeight="1">
      <x:c r="A31" s="90"/>
      <x:c r="B31" s="90" t="str">
        <x:v>Accrued and other current liabilities</x:v>
      </x:c>
      <x:c r="C31" s="102" t="n">
        <x:v>26960</x:v>
      </x:c>
      <x:c r="D31" s="96" t="str">
        <x:v>Q2 balance sheet</x:v>
      </x:c>
      <x:c r="E31" s="96"/>
      <x:c r="F31" s="96"/>
      <x:c r="G31" s="96"/>
      <x:c r="H31" s="96"/>
      <x:c r="I31" s="96"/>
      <x:c r="J31" s="96"/>
    </x:row>
    <x:row r="32" ht="26" customHeight="1">
      <x:c r="A32" s="90"/>
      <x:c r="B32" s="90" t="str">
        <x:v>Non-operating accrued liabilities</x:v>
      </x:c>
      <x:c r="C32" s="102" t="n">
        <x:v>6192</x:v>
      </x:c>
      <x:c r="D32" s="96" t="str">
        <x:v>Income taxes 5,206 + accrued acquisition 986</x:v>
      </x:c>
      <x:c r="E32" s="96"/>
      <x:c r="F32" s="96"/>
      <x:c r="G32" s="96"/>
      <x:c r="H32" s="96"/>
      <x:c r="I32" s="96"/>
      <x:c r="J32" s="96"/>
    </x:row>
    <x:row r="33" ht="26" customHeight="1">
      <x:c r="A33" s="90"/>
      <x:c r="B33" s="90" t="str">
        <x:v>Quarterly dividend per share</x:v>
      </x:c>
      <x:c r="C33" s="99" t="n">
        <x:v>0.25</x:v>
      </x:c>
      <x:c r="D33" s="96" t="str">
        <x:v>Q2 release; next payment October 1, 2026</x:v>
      </x:c>
      <x:c r="E33" s="96"/>
      <x:c r="F33" s="96"/>
      <x:c r="G33" s="96"/>
      <x:c r="H33" s="96"/>
      <x:c r="I33" s="96"/>
      <x:c r="J33" s="96"/>
    </x:row>
    <x:row r="34" ht="26" customHeight="1">
      <x:c r="A34" s="90"/>
      <x:c r="B34" s="90" t="str">
        <x:v>H1 repurchase cash</x:v>
      </x:c>
      <x:c r="C34" s="102" t="n">
        <x:v>39044</x:v>
      </x:c>
      <x:c r="D34" s="96" t="str">
        <x:v>Q2 cash flow</x:v>
      </x:c>
      <x:c r="E34" s="96"/>
      <x:c r="F34" s="96"/>
      <x:c r="G34" s="96"/>
      <x:c r="H34" s="96"/>
      <x:c r="I34" s="96"/>
      <x:c r="J34" s="96"/>
    </x:row>
    <x:row r="35" ht="26" customHeight="1">
      <x:c r="A35" s="90"/>
      <x:c r="B35" s="90" t="str">
        <x:v>H1 dividend cash</x:v>
      </x:c>
      <x:c r="C35" s="102" t="n">
        <x:v>6290</x:v>
      </x:c>
      <x:c r="D35" s="96" t="str">
        <x:v>Q2 cash flow</x:v>
      </x:c>
      <x:c r="E35" s="96"/>
      <x:c r="F35" s="96"/>
      <x:c r="G35" s="96"/>
      <x:c r="H35" s="96"/>
      <x:c r="I35" s="96"/>
      <x:c r="J35" s="96"/>
    </x:row>
    <x:row r="36" ht="26" customHeight="1">
      <x:c r="A36" s="90"/>
      <x:c r="B36" s="90" t="str">
        <x:v>Q3 revenue guidance midpoint</x:v>
      </x:c>
      <x:c r="C36" s="102" t="n">
        <x:v>108000</x:v>
      </x:c>
      <x:c r="D36" s="96" t="str">
        <x:v>Q2 release; Q3 only, not full-year guidance</x:v>
      </x:c>
      <x:c r="E36" s="96"/>
      <x:c r="F36" s="96"/>
      <x:c r="G36" s="96"/>
      <x:c r="H36" s="96"/>
      <x:c r="I36" s="96"/>
      <x:c r="J36" s="96"/>
    </x:row>
    <x:row r="37" ht="26" customHeight="1">
      <x:c r="A37" s="90"/>
      <x:c r="B37" s="90" t="str">
        <x:v>Hugging Face announced consideration</x:v>
      </x:c>
      <x:c r="C37" s="102" t="n">
        <x:v>12930.3</x:v>
      </x:c>
      <x:c r="D37" s="96" t="str">
        <x:v>September 3 announcement; payment terms modeled as assumptions</x:v>
      </x:c>
      <x:c r="E37" s="96"/>
      <x:c r="F37" s="96"/>
      <x:c r="G37" s="96"/>
      <x:c r="H37" s="96"/>
      <x:c r="I37" s="96"/>
      <x:c r="J37" s="96"/>
    </x:row>
    <x:row r="38" ht="25" customHeight="1">
      <x:c r="A38" s="90"/>
      <x:c r="B38" s="110" t="str">
        <x:v>Capital and working-capital bridges</x:v>
      </x:c>
      <x:c r="C38" s="110"/>
      <x:c r="D38" s="110"/>
      <x:c r="E38" s="110"/>
      <x:c r="F38" s="110"/>
      <x:c r="G38" s="110"/>
      <x:c r="H38" s="110"/>
      <x:c r="I38" s="110"/>
      <x:c r="J38" s="110"/>
    </x:row>
    <x:row r="39" ht="21" customHeight="1">
      <x:c r="A39" s="90"/>
      <x:c r="B39" s="90" t="str">
        <x:v>Liquid cash and debt securities</x:v>
      </x:c>
      <x:c r="C39" s="102" t="n">
        <x:f>SUM(C10:C11)</x:f>
        <x:v>56586</x:v>
      </x:c>
      <x:c r="D39" s="90"/>
      <x:c r="E39" s="90"/>
      <x:c r="F39" s="90"/>
      <x:c r="G39" s="90"/>
      <x:c r="H39" s="90"/>
      <x:c r="I39" s="90"/>
      <x:c r="J39" s="90"/>
    </x:row>
    <x:row r="40" ht="21" customHeight="1">
      <x:c r="A40" s="90"/>
      <x:c r="B40" s="90" t="str">
        <x:v>Diluted valuation shares</x:v>
      </x:c>
      <x:c r="C40" s="102" t="n">
        <x:f>SUM(C8:C9)</x:f>
        <x:v>24242</x:v>
      </x:c>
      <x:c r="D40" s="90"/>
      <x:c r="E40" s="90"/>
      <x:c r="F40" s="90"/>
      <x:c r="G40" s="90"/>
      <x:c r="H40" s="90"/>
      <x:c r="I40" s="90"/>
      <x:c r="J40" s="90"/>
    </x:row>
    <x:row r="41" ht="21" customHeight="1">
      <x:c r="A41" s="90"/>
      <x:c r="B41" s="90" t="str">
        <x:v>Opening operating working capital</x:v>
      </x:c>
      <x:c r="C41" s="102" t="n">
        <x:f>SUM(C27:C29)-C30-C31+C32</x:f>
        <x:v>62216</x:v>
      </x:c>
      <x:c r="D41" s="90"/>
      <x:c r="E41" s="90"/>
      <x:c r="F41" s="90"/>
      <x:c r="G41" s="90"/>
      <x:c r="H41" s="90"/>
      <x:c r="I41" s="90"/>
      <x:c r="J41" s="90"/>
    </x:row>
    <x:row r="42" ht="21" customHeight="1">
      <x:c r="A42" s="90"/>
      <x:c r="B42" s="90" t="str">
        <x:v>Existing equity portfolio value</x:v>
      </x:c>
      <x:c r="C42" s="102" t="n">
        <x:f>C12*C16+C13*C17</x:f>
        <x:v>59804.9</x:v>
      </x:c>
      <x:c r="D42" s="90"/>
      <x:c r="E42" s="90"/>
      <x:c r="F42" s="90"/>
      <x:c r="G42" s="90"/>
      <x:c r="H42" s="90"/>
      <x:c r="I42" s="90"/>
      <x:c r="J42" s="90"/>
    </x:row>
    <x:row r="43" ht="21" customHeight="1">
      <x:c r="A43" s="90"/>
      <x:c r="B43" s="90" t="str">
        <x:v>Net non-operating value to equity</x:v>
      </x:c>
      <x:c r="C43" s="102" t="n">
        <x:f>C39-C15-C14+C18+C42-C32</x:f>
        <x:v>66698.9</x:v>
      </x:c>
      <x:c r="D43" s="90"/>
      <x:c r="E43" s="90"/>
      <x:c r="F43" s="90"/>
      <x:c r="G43" s="90"/>
      <x:c r="H43" s="90"/>
      <x:c r="I43" s="90"/>
      <x:c r="J43" s="90"/>
    </x:row>
    <x:row r="44" ht="21" customHeight="1">
      <x:c r="A44" s="90"/>
      <x:c r="B44" s="90" t="str">
        <x:v>H1 company free cash flow</x:v>
      </x:c>
      <x:c r="C44" s="102" t="n">
        <x:f>C24-C23</x:f>
        <x:v>69895</x:v>
      </x:c>
      <x:c r="D44" s="90"/>
      <x:c r="E44" s="90"/>
      <x:c r="F44" s="90"/>
      <x:c r="G44" s="90"/>
      <x:c r="H44" s="90"/>
      <x:c r="I44" s="90"/>
      <x:c r="J44" s="90"/>
    </x:row>
    <x:row r="45" ht="21" customHeight="1">
      <x:c r="A45" s="90"/>
      <x:c r="B45" s="90"/>
      <x:c r="C45" s="90"/>
      <x:c r="D45" s="90"/>
      <x:c r="E45" s="90"/>
      <x:c r="F45" s="90"/>
      <x:c r="G45" s="90"/>
      <x:c r="H45" s="90"/>
      <x:c r="I45" s="90"/>
      <x:c r="J45" s="90"/>
    </x:row>
    <x:row r="46" ht="21" customHeight="1">
      <x:c r="A46" s="90"/>
      <x:c r="B46" s="90"/>
      <x:c r="C46" s="90"/>
      <x:c r="D46" s="90"/>
      <x:c r="E46" s="90"/>
      <x:c r="F46" s="90"/>
      <x:c r="G46" s="90"/>
      <x:c r="H46" s="90"/>
      <x:c r="I46" s="90"/>
      <x:c r="J46" s="90"/>
    </x:row>
    <x:row r="47" ht="21" customHeight="1">
      <x:c r="A47" s="90"/>
      <x:c r="B47" s="111" t="str">
        <x:v>Operating leases remain an operating expense. Funded debt uses principal. Equity investments are valued separately from cash, with explicit realization haircuts. Future investment commitments are modeled as cash uses with a separate exit recovery assumption.</x:v>
      </x:c>
      <x:c r="C47" s="111"/>
      <x:c r="D47" s="111"/>
      <x:c r="E47" s="111"/>
      <x:c r="F47" s="111"/>
      <x:c r="G47" s="111"/>
      <x:c r="H47" s="111"/>
      <x:c r="I47" s="111"/>
      <x:c r="J47" s="111"/>
    </x:row>
    <x:row r="48" ht="21" customHeight="1">
      <x:c r="A48" s="90"/>
      <x:c r="B48" s="111"/>
      <x:c r="C48" s="111"/>
      <x:c r="D48" s="111"/>
      <x:c r="E48" s="111"/>
      <x:c r="F48" s="111"/>
      <x:c r="G48" s="111"/>
      <x:c r="H48" s="111"/>
      <x:c r="I48" s="111"/>
      <x:c r="J48" s="111"/>
    </x:row>
    <x:row r="49" ht="21" customHeight="1">
      <x:c r="A49" s="90"/>
      <x:c r="B49" s="111"/>
      <x:c r="C49" s="111"/>
      <x:c r="D49" s="111"/>
      <x:c r="E49" s="111"/>
      <x:c r="F49" s="111"/>
      <x:c r="G49" s="111"/>
      <x:c r="H49" s="111"/>
      <x:c r="I49" s="111"/>
      <x:c r="J49" s="111"/>
    </x:row>
    <x:row r="50" ht="21" customHeight="1">
      <x:c r="A50" s="90"/>
      <x:c r="B50" s="90"/>
      <x:c r="C50" s="90"/>
      <x:c r="D50" s="90"/>
      <x:c r="E50" s="90"/>
      <x:c r="F50" s="90"/>
      <x:c r="G50" s="90"/>
      <x:c r="H50" s="90"/>
      <x:c r="I50" s="90"/>
      <x:c r="J50" s="90"/>
    </x:row>
    <x:row r="51" ht="21" customHeight="1">
      <x:c r="A51" s="90"/>
      <x:c r="B51" s="90"/>
      <x:c r="C51" s="90"/>
      <x:c r="D51" s="90"/>
      <x:c r="E51" s="90"/>
      <x:c r="F51" s="90"/>
      <x:c r="G51" s="90"/>
      <x:c r="H51" s="90"/>
      <x:c r="I51" s="90"/>
      <x:c r="J51" s="90"/>
    </x:row>
    <x:row r="52" ht="21" customHeight="1">
      <x:c r="A52" s="90"/>
      <x:c r="B52" s="111" t="str">
        <x:v>https://nvidianews.nvidia.com/news/nvidia-announces-financial-results-for-second-quarter-fiscal-2027</x:v>
      </x:c>
      <x:c r="C52" s="111"/>
      <x:c r="D52" s="111"/>
      <x:c r="E52" s="111"/>
      <x:c r="F52" s="111"/>
      <x:c r="G52" s="111"/>
      <x:c r="H52" s="111"/>
      <x:c r="I52" s="111"/>
      <x:c r="J52" s="111"/>
    </x:row>
    <x:row r="53" ht="21" customHeight="1">
      <x:c r="A53" s="90"/>
      <x:c r="B53" s="111"/>
      <x:c r="C53" s="111"/>
      <x:c r="D53" s="111"/>
      <x:c r="E53" s="111"/>
      <x:c r="F53" s="111"/>
      <x:c r="G53" s="111"/>
      <x:c r="H53" s="111"/>
      <x:c r="I53" s="111"/>
      <x:c r="J53" s="111"/>
    </x:row>
    <x:row r="54" ht="21" customHeight="1">
      <x:c r="A54" s="90"/>
      <x:c r="B54" s="111"/>
      <x:c r="C54" s="111"/>
      <x:c r="D54" s="111"/>
      <x:c r="E54" s="111"/>
      <x:c r="F54" s="111"/>
      <x:c r="G54" s="111"/>
      <x:c r="H54" s="111"/>
      <x:c r="I54" s="111"/>
      <x:c r="J54" s="111"/>
    </x:row>
    <x:row r="55" ht="21" customHeight="1">
      <x:c r="A55" s="90"/>
      <x:c r="B55" s="111"/>
      <x:c r="C55" s="111"/>
      <x:c r="D55" s="111"/>
      <x:c r="E55" s="111"/>
      <x:c r="F55" s="111"/>
      <x:c r="G55" s="111"/>
      <x:c r="H55" s="111"/>
      <x:c r="I55" s="111"/>
      <x:c r="J55" s="111"/>
    </x:row>
    <x:row r="56" ht="21" customHeight="1">
      <x:c r="A56" s="90"/>
      <x:c r="B56" s="90"/>
      <x:c r="C56" s="90"/>
      <x:c r="D56" s="90"/>
      <x:c r="E56" s="90"/>
      <x:c r="F56" s="90"/>
      <x:c r="G56" s="90"/>
      <x:c r="H56" s="90"/>
      <x:c r="I56" s="90"/>
      <x:c r="J56" s="90"/>
    </x:row>
    <x:row r="57" ht="21" customHeight="1">
      <x:c r="A57" s="90"/>
      <x:c r="B57" s="111" t="str">
        <x:v>https://s201.q4cdn.com/141608511/files/doc_financials/2027/NVDA-2027-Q2-10Q-Final-including-exhibits.pdf</x:v>
      </x:c>
      <x:c r="C57" s="111"/>
      <x:c r="D57" s="111"/>
      <x:c r="E57" s="111"/>
      <x:c r="F57" s="111"/>
      <x:c r="G57" s="111"/>
      <x:c r="H57" s="111"/>
      <x:c r="I57" s="111"/>
      <x:c r="J57" s="111"/>
    </x:row>
    <x:row r="58" ht="21" customHeight="1">
      <x:c r="A58" s="90"/>
      <x:c r="B58" s="111"/>
      <x:c r="C58" s="111"/>
      <x:c r="D58" s="111"/>
      <x:c r="E58" s="111"/>
      <x:c r="F58" s="111"/>
      <x:c r="G58" s="111"/>
      <x:c r="H58" s="111"/>
      <x:c r="I58" s="111"/>
      <x:c r="J58" s="111"/>
    </x:row>
    <x:row r="59" ht="21" customHeight="1">
      <x:c r="A59" s="90"/>
      <x:c r="B59" s="111"/>
      <x:c r="C59" s="111"/>
      <x:c r="D59" s="111"/>
      <x:c r="E59" s="111"/>
      <x:c r="F59" s="111"/>
      <x:c r="G59" s="111"/>
      <x:c r="H59" s="111"/>
      <x:c r="I59" s="111"/>
      <x:c r="J59" s="111"/>
    </x:row>
    <x:row r="60" ht="21" customHeight="1">
      <x:c r="A60" s="90"/>
      <x:c r="B60" s="111"/>
      <x:c r="C60" s="111"/>
      <x:c r="D60" s="111"/>
      <x:c r="E60" s="111"/>
      <x:c r="F60" s="111"/>
      <x:c r="G60" s="111"/>
      <x:c r="H60" s="111"/>
      <x:c r="I60" s="111"/>
      <x:c r="J60" s="111"/>
    </x:row>
    <x:row r="61" ht="21" customHeight="1">
      <x:c r="A61" s="90"/>
      <x:c r="B61" s="90"/>
      <x:c r="C61" s="90"/>
      <x:c r="D61" s="90"/>
      <x:c r="E61" s="90"/>
      <x:c r="F61" s="90"/>
      <x:c r="G61" s="90"/>
      <x:c r="H61" s="90"/>
      <x:c r="I61" s="90"/>
      <x:c r="J61" s="90"/>
    </x:row>
    <x:row r="62" ht="21" customHeight="1">
      <x:c r="A62" s="90"/>
      <x:c r="B62" s="111" t="str">
        <x:v>Opening income taxes and accrued acquisition liabilities are reserved in the equity bridge and settled in the cash schedule. They are excluded from opening operating NWC and not deducted again from DCF cash flow.</x:v>
      </x:c>
      <x:c r="C62" s="111"/>
      <x:c r="D62" s="111"/>
      <x:c r="E62" s="111"/>
      <x:c r="F62" s="111"/>
      <x:c r="G62" s="111"/>
      <x:c r="H62" s="111"/>
      <x:c r="I62" s="111"/>
      <x:c r="J62" s="111"/>
    </x:row>
    <x:row r="63" ht="21" customHeight="1">
      <x:c r="A63" s="90"/>
      <x:c r="B63" s="111"/>
      <x:c r="C63" s="111"/>
      <x:c r="D63" s="111"/>
      <x:c r="E63" s="111"/>
      <x:c r="F63" s="111"/>
      <x:c r="G63" s="111"/>
      <x:c r="H63" s="111"/>
      <x:c r="I63" s="111"/>
      <x:c r="J63" s="111"/>
    </x:row>
    <x:row r="64" ht="21" customHeight="1">
      <x:c r="A64" s="90"/>
      <x:c r="B64" s="111"/>
      <x:c r="C64" s="111"/>
      <x:c r="D64" s="111"/>
      <x:c r="E64" s="111"/>
      <x:c r="F64" s="111"/>
      <x:c r="G64" s="111"/>
      <x:c r="H64" s="111"/>
      <x:c r="I64" s="111"/>
      <x:c r="J64" s="111"/>
    </x:row>
    <x:row r="65" ht="21" customHeight="1">
      <x:c r="A65" s="90"/>
      <x:c r="B65" s="111"/>
      <x:c r="C65" s="111"/>
      <x:c r="D65" s="111"/>
      <x:c r="E65" s="111"/>
      <x:c r="F65" s="111"/>
      <x:c r="G65" s="111"/>
      <x:c r="H65" s="111"/>
      <x:c r="I65" s="111"/>
      <x:c r="J65" s="111"/>
    </x:row>
    <x:row r="66" ht="21" customHeight="1">
      <x:c r="A66" s="90"/>
      <x:c r="B66" s="90"/>
      <x:c r="C66" s="90"/>
      <x:c r="D66" s="90"/>
      <x:c r="E66" s="90"/>
      <x:c r="F66" s="90"/>
      <x:c r="G66" s="90"/>
      <x:c r="H66" s="90"/>
      <x:c r="I66" s="90"/>
      <x:c r="J66" s="90"/>
    </x:row>
    <x:row r="67" ht="21" customHeight="1">
      <x:c r="A67" s="90"/>
      <x:c r="B67" s="90"/>
      <x:c r="C67" s="90"/>
      <x:c r="D67" s="90"/>
      <x:c r="E67" s="90"/>
      <x:c r="F67" s="90"/>
      <x:c r="G67" s="90"/>
      <x:c r="H67" s="90"/>
      <x:c r="I67" s="90"/>
      <x:c r="J67" s="90"/>
    </x:row>
    <x:row r="68" ht="21" customHeight="1">
      <x:c r="A68" s="90"/>
      <x:c r="B68" s="90"/>
      <x:c r="C68" s="90"/>
      <x:c r="D68" s="90"/>
      <x:c r="E68" s="90"/>
      <x:c r="F68" s="90"/>
      <x:c r="G68" s="90"/>
      <x:c r="H68" s="90"/>
      <x:c r="I68" s="90"/>
      <x:c r="J68" s="90"/>
    </x:row>
    <x:row r="69" ht="21" customHeight="1">
      <x:c r="A69" s="90"/>
      <x:c r="B69" s="90"/>
      <x:c r="C69" s="90"/>
      <x:c r="D69" s="90"/>
      <x:c r="E69" s="90"/>
      <x:c r="F69" s="90"/>
      <x:c r="G69" s="90"/>
      <x:c r="H69" s="90"/>
      <x:c r="I69" s="90"/>
      <x:c r="J69" s="90"/>
    </x:row>
    <x:row r="70" ht="21" customHeight="1">
      <x:c r="A70" s="90"/>
      <x:c r="B70" s="90"/>
      <x:c r="C70" s="90"/>
      <x:c r="D70" s="90"/>
      <x:c r="E70" s="90"/>
      <x:c r="F70" s="90"/>
      <x:c r="G70" s="90"/>
      <x:c r="H70" s="90"/>
      <x:c r="I70" s="90"/>
      <x:c r="J70" s="90"/>
    </x:row>
  </x:sheetData>
  <x:mergeCells>
    <x:mergeCell ref="A1:J1"/>
    <x:mergeCell ref="A2:J3"/>
    <x:mergeCell ref="D5:J5"/>
    <x:mergeCell ref="D6:J6"/>
    <x:mergeCell ref="D7:J7"/>
    <x:mergeCell ref="D8:J8"/>
    <x:mergeCell ref="D9:J9"/>
    <x:mergeCell ref="D10:J10"/>
    <x:mergeCell ref="D11:J11"/>
    <x:mergeCell ref="D12:J12"/>
    <x:mergeCell ref="D13:J13"/>
    <x:mergeCell ref="D14:J14"/>
    <x:mergeCell ref="D15:J15"/>
    <x:mergeCell ref="D16:J16"/>
    <x:mergeCell ref="D17:J17"/>
    <x:mergeCell ref="D18:J18"/>
    <x:mergeCell ref="D19:J19"/>
    <x:mergeCell ref="D20:J20"/>
    <x:mergeCell ref="D21:J21"/>
    <x:mergeCell ref="D22:J22"/>
    <x:mergeCell ref="D23:J23"/>
    <x:mergeCell ref="D24:J24"/>
    <x:mergeCell ref="D25:J25"/>
    <x:mergeCell ref="D26:J26"/>
    <x:mergeCell ref="D27:J27"/>
    <x:mergeCell ref="D28:J28"/>
    <x:mergeCell ref="D29:J29"/>
    <x:mergeCell ref="D30:J30"/>
    <x:mergeCell ref="D31:J31"/>
    <x:mergeCell ref="D32:J32"/>
    <x:mergeCell ref="D33:J33"/>
    <x:mergeCell ref="D34:J34"/>
    <x:mergeCell ref="D35:J35"/>
    <x:mergeCell ref="D36:J36"/>
    <x:mergeCell ref="D37:J37"/>
    <x:mergeCell ref="B38:J38"/>
    <x:mergeCell ref="B47:J49"/>
    <x:mergeCell ref="B52:J55"/>
    <x:mergeCell ref="B57:J60"/>
    <x:mergeCell ref="B62:J65"/>
  </x:mergeCells>
  <x:pageMargins left="0.7" right="0.7" top="0.75" bottom="0.75" header="0.3" footer="0.3"/>
  <x:legacyDrawing xmlns:r="http://schemas.openxmlformats.org/officeDocument/2006/relationships" r:id="Re79f9819db18491e"/>
</x:worksheet>
</file>