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3.xml" ContentType="application/vnd.openxmlformats-officedocument.spreadsheetml.worksheet+xml"/>
  <Override PartName="/xl/worksheets/sheet4.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5.xml" ContentType="application/vnd.openxmlformats-officedocument.spreadsheetml.worksheet+xml"/>
  <Override PartName="/xl/worksheets/sheet6.xml" ContentType="application/vnd.openxmlformats-officedocument.spreadsheetml.worksheet+xml"/>
  <Override PartName="/xl/comments2.xml" ContentType="application/vnd.openxmlformats-officedocument.spreadsheetml.comments+xml"/>
  <Override PartName="/xl/worksheets/sheet7.xml" ContentType="application/vnd.openxmlformats-officedocument.spreadsheetml.worksheet+xml"/>
  <Override PartName="/xl/comments3.xml" ContentType="application/vnd.openxmlformats-officedocument.spreadsheetml.comment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comments4.xml" ContentType="application/vnd.openxmlformats-officedocument.spreadsheetml.comments+xml"/>
  <Override PartName="/xl/threadedcomments/threadedcomment2.xml" ContentType="application/vnd.ms-excel.threadedcomments+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b51da0e881864ca9" /></Relationships>
</file>

<file path=xl/workbook.xml><?xml version="1.0" encoding="utf-8"?>
<x:workbook xmlns:x="http://schemas.openxmlformats.org/spreadsheetml/2006/main">
  <x:sheets>
    <x:sheet xmlns:r="http://schemas.openxmlformats.org/officeDocument/2006/relationships" name="Start Here" sheetId="1" r:id="R3aea96c77c3a4ea9"/>
    <x:sheet xmlns:r="http://schemas.openxmlformats.org/officeDocument/2006/relationships" name="Valuation Summary" sheetId="2" r:id="Rab4d431a2d2e4099"/>
    <x:sheet xmlns:r="http://schemas.openxmlformats.org/officeDocument/2006/relationships" name="Assumptions" sheetId="3" r:id="R9eced51296814be9"/>
    <x:sheet xmlns:r="http://schemas.openxmlformats.org/officeDocument/2006/relationships" name="Historical Financials" sheetId="4" r:id="R229947c3843b47bf"/>
    <x:sheet xmlns:r="http://schemas.openxmlformats.org/officeDocument/2006/relationships" name="NCI Reconciliation" sheetId="5" r:id="R5f38365f2f914ecb"/>
    <x:sheet xmlns:r="http://schemas.openxmlformats.org/officeDocument/2006/relationships" name="Operating Forecast" sheetId="6" r:id="R8df4524fdc264064"/>
    <x:sheet xmlns:r="http://schemas.openxmlformats.org/officeDocument/2006/relationships" name="Trading Comps" sheetId="7" r:id="Re4a6a94fd7db47e1"/>
    <x:sheet xmlns:r="http://schemas.openxmlformats.org/officeDocument/2006/relationships" name="DCF" sheetId="8" r:id="Rb3994973c98f41de"/>
    <x:sheet xmlns:r="http://schemas.openxmlformats.org/officeDocument/2006/relationships" name="Transactions" sheetId="9" r:id="Re13ace03d6184d6f"/>
    <x:sheet xmlns:r="http://schemas.openxmlformats.org/officeDocument/2006/relationships" name="Sum-of-the-Parts" sheetId="10" r:id="R9d78d92e574c4d75"/>
    <x:sheet xmlns:r="http://schemas.openxmlformats.org/officeDocument/2006/relationships" name="Acquisition Returns" sheetId="11" r:id="R633024b554e44c2f"/>
    <x:sheet xmlns:r="http://schemas.openxmlformats.org/officeDocument/2006/relationships" name="Sensitivities" sheetId="12" r:id="Rec93c91a367e46c8"/>
    <x:sheet xmlns:r="http://schemas.openxmlformats.org/officeDocument/2006/relationships" name="Sources &amp; Adjustments" sheetId="13" r:id="R7f2e16072c9e4ac7"/>
    <x:sheet xmlns:r="http://schemas.openxmlformats.org/officeDocument/2006/relationships" name="Checks" sheetId="14" r:id="Rfd7a0061659a418a"/>
    <x:sheet xmlns:r="http://schemas.openxmlformats.org/officeDocument/2006/relationships" name="Source Inputs" sheetId="15" r:id="Rd9c3e27ba8734696"/>
  </x:sheets>
</x:workbook>
</file>

<file path=xl/comments1.xml><?xml version="1.0" encoding="utf-8"?>
<x:comments xmlns:x="http://schemas.openxmlformats.org/spreadsheetml/2006/main">
  <x:authors>
    <x:author>tc={5535F3AD-4BE4-4F66-9CF1-0846FA6DE050}</x:author>
    <x:author>tc={D0590059-F717-4A92-AE78-460A0F42F779}</x:author>
    <x:author>tc={F4AF8571-AEF8-4C85-8BB6-FB2F6C742E6C}</x:author>
    <x:author>tc={E08996A5-2F34-4D9A-B6B8-DC7226E43F2C}</x:author>
    <x:author>tc={E08B7CC1-4FEB-46B5-A10E-66201AE68CE6}</x:author>
    <x:author>tc={925FE82A-2494-40EB-99E8-E83D9C906DBC}</x:author>
    <x:author>tc={8214BDA6-5C49-417A-8601-E94ED2A0498B}</x:author>
    <x:author>tc={F8BBE11A-DA6C-457F-8BFE-48DD78A4A929}</x:author>
    <x:author>tc={CC9967D2-BE24-4AE5-B2A6-01B3099564FC}</x:author>
    <x:author>tc={848ECACC-9F65-4CCB-A12C-9BB1B94B8323}</x:author>
    <x:author>tc={4FCA6F86-7DE4-464F-9A51-71FFECAA4FD3}</x:author>
    <x:author>tc={E790E7BF-058B-4D93-8A04-573B980F1CF4}</x:author>
    <x:author>tc={FEFD41B6-F4B4-4F3D-BC77-DFF99A776E6F}</x:author>
    <x:author>tc={34DBFC74-8A88-458F-A51D-703099772D9D}</x:author>
    <x:author>tc={BA59908C-D725-4F0F-B03D-20E25D495771}</x:author>
    <x:author>tc={00EFAFA3-F8C3-4F5A-BD82-AB397F2FB0A5}</x:author>
    <x:author>tc={F1525A82-3D24-4552-850A-3F694434D1C3}</x:author>
    <x:author>tc={B9AD0C9E-6C9B-4756-9782-460B39A3F273}</x:author>
    <x:author>tc={F6088EC3-8F28-435C-A099-7F2AC0888CFF}</x:author>
    <x:author>tc={C503FAC1-B154-42C5-B077-9FB1A24AA167}</x:author>
    <x:author>tc={B6E29F55-B293-46EA-A431-A904A30C94A7}</x:author>
    <x:author>tc={4D0FA061-2531-44E7-9EA9-48929BADA1E7}</x:author>
    <x:author>tc={B2E6425D-5374-4CDF-896B-79FA69097182}</x:author>
    <x:author>tc={7450C301-ECAD-415D-8F5B-136EC918D75F}</x:author>
    <x:author>tc={817D46F8-BB97-4A69-B566-8E824D849471}</x:author>
    <x:author>tc={F6F716B8-C5B6-4BDB-96C0-7782B9C82260}</x:author>
    <x:author>tc={F3F293D1-6CB2-43B6-87E4-B1353B040CE3}</x:author>
    <x:author>tc={4CD7271F-D218-4D3D-9EB9-F01244C8D899}</x:author>
    <x:author>tc={2DF5D74D-61A4-4D5A-84FC-5E82759535B4}</x:author>
    <x:author>tc={6173CB13-E26D-4AD7-AF82-70C083711F5E}</x:author>
    <x:author>tc={0EC15DF8-8BAA-4E8A-8E7F-BFA1722866BB}</x:author>
    <x:author>tc={4DDEE2DB-1F48-4BB0-AE22-E98DCDCA7805}</x:author>
    <x:author>tc={C8F98F20-7013-47AD-A0FC-074753C366B7}</x:author>
    <x:author>tc={5DCDE10D-B791-4B5D-9B8A-31EF4EF2155D}</x:author>
    <x:author>tc={B3C2E283-1488-4808-AE75-D6C1361F2AF1}</x:author>
    <x:author>tc={D6F383FC-E098-4653-95D4-6C7E388431AD}</x:author>
    <x:author>tc={6806235A-1019-46A8-83A8-088EFB4F80A3}</x:author>
    <x:author>tc={909AB043-99B8-456C-82E1-1DCB3F496873}</x:author>
  </x:authors>
  <x:commentList>
    <x:comment ref="F7" authorId="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F8" authorId="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F26" authorId="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F29" authorId="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G7" authorId="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G8" authorId="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G26" authorId="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G29" authorId="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C7" authorId="8">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8" authorId="9">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9" authorId="1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11" authorId="1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15" authorId="1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16" authorId="1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17" authorId="1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18" authorId="1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26" authorId="1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29" authorId="1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7" authorId="18">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8" authorId="19">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9" authorId="2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11" authorId="2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15" authorId="2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16" authorId="2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17" authorId="2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18" authorId="2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26" authorId="2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29" authorId="2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E7" authorId="28">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8" authorId="29">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9" authorId="3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11" authorId="3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15" authorId="3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16" authorId="3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17" authorId="3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18" authorId="3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26" authorId="3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29" authorId="3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List>
</x:comments>
</file>

<file path=xl/comments2.xml><?xml version="1.0" encoding="utf-8"?>
<x:comments xmlns:x="http://schemas.openxmlformats.org/spreadsheetml/2006/main">
  <x:authors>
    <x:author>Unknown Author</x:author>
  </x:authors>
  <x:commentList>
    <x:comment ref="C49" authorId="0">
      <x:text>
        <x:r>
          <x:t>Total equity roll = +consolidated NI + SBC - NCI distributions. Opening ties to FY25 total assets $8,120M, debt $4,039M, equity $3,527M (SGRY $1,713M + NCI $1,814M).</x:t>
        </x:r>
      </x:text>
    </x:comment>
  </x:commentList>
</x:comments>
</file>

<file path=xl/comments3.xml><?xml version="1.0" encoding="utf-8"?>
<x:comments xmlns:x="http://schemas.openxmlformats.org/spreadsheetml/2006/main">
  <x:authors>
    <x:author>Unknown Author</x:author>
  </x:authors>
  <x:commentList>
    <x:comment ref="C17" authorId="0">
      <x:text>
        <x:r>
          <x:t>Low = peer median (~9x) → parent equity near zero after net debt + NCI. High = ~SGRY's current premium multiple. The gap is the whole debate.</x:t>
        </x:r>
      </x:text>
    </x:comment>
    <x:comment ref="F13" authorId="0">
      <x:text>
        <x:r>
          <x:t>SGRY's own TEV (incl NCI $1.8bn) / LTM EBITDA ~11.6x — ABOVE the peer median (~9x). The market pays a premium for the ASC growth/aging-demographics tailwind.</x:t>
        </x:r>
      </x:text>
    </x:comment>
  </x:commentList>
</x:comments>
</file>

<file path=xl/comments4.xml><?xml version="1.0" encoding="utf-8"?>
<x:comments xmlns:x="http://schemas.openxmlformats.org/spreadsheetml/2006/main">
  <x:authors>
    <x:author>tc={B6BA9C4C-E561-4E64-B3DC-F9BAEEB7B0EA}</x:author>
    <x:author>tc={8D47F02B-3A9C-4FD6-BA4D-BE69A4CC1A4E}</x:author>
    <x:author>tc={D523344F-3CAA-4419-A00E-C1931F0AE8E4}</x:author>
    <x:author>tc={4515DFDD-0B00-4A0A-9D47-7637DDAA5754}</x:author>
    <x:author>tc={CED010DD-0D07-4C61-BEB9-0D02AEB1F6BE}</x:author>
    <x:author>tc={9F79F09D-E38C-4779-9FB9-AE98FDBDDB69}</x:author>
    <x:author>tc={9AFB76E9-6DBE-4FB0-BCAC-BB8CC72F428D}</x:author>
    <x:author>tc={C791D236-474F-43D5-B8AE-FF8A18012993}</x:author>
    <x:author>tc={ECB102B3-3C12-4944-B134-694AB6C14255}</x:author>
    <x:author>tc={551B7EDF-CFAD-4E29-B8C2-7B2260C6118E}</x:author>
    <x:author>tc={345E4C1A-1CA0-434A-BC64-33D5963BDFAD}</x:author>
    <x:author>tc={5865AF7D-D80D-483A-A2EB-B349B2361C93}</x:author>
    <x:author>tc={664206C0-5C1F-4736-97E8-BA9E3B80674A}</x:author>
    <x:author>tc={F7BFE2F5-FBA5-47A6-99B0-A954A241252B}</x:author>
    <x:author>tc={FA48B3B6-0E85-4195-A4F0-1A4860F9C573}</x:author>
    <x:author>tc={BDE6E1CB-BD70-44ED-8A93-0FA839114496}</x:author>
    <x:author>tc={A32FFC4F-621C-4AA1-8162-6B38C08BFF9F}</x:author>
    <x:author>tc={53AD2FFC-B418-4796-9206-0457ECED5578}</x:author>
    <x:author>tc={7B57B0C3-1E4E-4AC7-9BD2-A2B4C1389638}</x:author>
    <x:author>tc={7D717CB9-01B1-44F4-82B4-45AFF161F762}</x:author>
    <x:author>tc={CA09ABA9-738D-4EC4-AB0A-AE266DE3C99A}</x:author>
    <x:author>tc={1D2BE592-BC19-4A24-8006-141DDB9AA7D8}</x:author>
    <x:author>tc={97D1C690-244C-46CB-B613-7AA452285E22}</x:author>
    <x:author>tc={684F5DDC-2C8C-439D-809A-86A6FFB7A99D}</x:author>
    <x:author>tc={CA16F10E-69FE-49F5-9848-E6AEE5FA9B67}</x:author>
    <x:author>tc={FAC83200-A7AB-4D1C-958A-355AA283AFD4}</x:author>
    <x:author>tc={D1DD3314-E3E1-4585-B61C-94F1CD1B3A39}</x:author>
    <x:author>tc={637944DE-7D05-43FA-AF46-A638D832845B}</x:author>
    <x:author>tc={786B4C64-3F2E-48D2-8FAD-8E061FEDA119}</x:author>
    <x:author>tc={C84D673E-1947-4D27-80E1-D3E51704EF8E}</x:author>
    <x:author>tc={AF1E543C-0002-48CC-81DD-E7A88E5DDED0}</x:author>
    <x:author>tc={994F8504-C3F9-4338-A93E-B35C2E6A8695}</x:author>
    <x:author>tc={AB6CF676-6B65-4284-88EB-45CAD2038635}</x:author>
    <x:author>tc={DD5EDE8C-1440-44C3-858F-6F0CA12E2E3C}</x:author>
    <x:author>tc={A1FB540F-4B1F-48BE-ACD5-242538168DEA}</x:author>
    <x:author>tc={86B1037F-6373-471F-897B-27BCEB2E8FA7}</x:author>
    <x:author>tc={6F222A7B-59D2-4350-9A6F-4305CC37E430}</x:author>
    <x:author>tc={E0F93371-FD27-4496-B414-33C4CC9ECBFC}</x:author>
    <x:author>tc={EFA71836-3E39-4A76-B6DF-63AB6BA7ED98}</x:author>
    <x:author>tc={8F444B3B-43B4-4CC5-A9C2-5DA84BAF745F}</x:author>
    <x:author>tc={948CFB38-AD14-4A45-8317-AB39451B5928}</x:author>
  </x:authors>
  <x:commentList>
    <x:comment ref="C8" authorId="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Quarter adjusted diluted shares (m).</x:t>
        </x:r>
      </x:text>
    </x:comment>
    <x:comment ref="C9" authorId="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Quarter basic shares (m).</x:t>
        </x:r>
      </x:text>
    </x:comment>
    <x:comment ref="C10" authorId="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Cash and equivalents.</x:t>
        </x:r>
      </x:text>
    </x:comment>
    <x:comment ref="C11" authorId="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Current funded debt.</x:t>
        </x:r>
      </x:text>
    </x:comment>
    <x:comment ref="C12" authorId="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Long-term funded debt.</x:t>
        </x:r>
      </x:text>
    </x:comment>
    <x:comment ref="C13" authorId="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Total assets.</x:t>
        </x:r>
      </x:text>
    </x:comment>
    <x:comment ref="C14" authorId="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Total liabilities.</x:t>
        </x:r>
      </x:text>
    </x:comment>
    <x:comment ref="C15" authorId="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Redeemable NCI.</x:t>
        </x:r>
      </x:text>
    </x:comment>
    <x:comment ref="C16" authorId="8">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Nonredeemable NCI.</x:t>
        </x:r>
      </x:text>
    </x:comment>
    <x:comment ref="C17" authorId="9">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Parent stockholders equity.</x:t>
        </x:r>
      </x:text>
    </x:comment>
    <x:comment ref="C18" authorId="1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revenue.</x:t>
        </x:r>
      </x:text>
    </x:comment>
    <x:comment ref="C19" authorId="1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company Adjusted EBITDA.</x:t>
        </x:r>
      </x:text>
    </x:comment>
    <x:comment ref="C20" authorId="1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GAAP operating income.</x:t>
        </x:r>
      </x:text>
    </x:comment>
    <x:comment ref="C21" authorId="1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D&amp;A.</x:t>
        </x:r>
      </x:text>
    </x:comment>
    <x:comment ref="C22" authorId="1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NCI net income.</x:t>
        </x:r>
      </x:text>
    </x:comment>
    <x:comment ref="C23" authorId="1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NCI cash distributions.</x:t>
        </x:r>
      </x:text>
    </x:comment>
    <x:comment ref="C24" authorId="1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net cash from operations.</x:t>
        </x:r>
      </x:text>
    </x:comment>
    <x:comment ref="C25" authorId="1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capex.</x:t>
        </x:r>
      </x:text>
    </x:comment>
    <x:comment ref="C26" authorId="18">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SBC.</x:t>
        </x:r>
      </x:text>
    </x:comment>
    <x:comment ref="C27" authorId="19">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transaction and integration costs.</x:t>
        </x:r>
      </x:text>
    </x:comment>
    <x:comment ref="C28" authorId="2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de novo costs.</x:t>
        </x:r>
      </x:text>
    </x:comment>
    <x:comment ref="C29" authorId="2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disposal losses.</x:t>
        </x:r>
      </x:text>
    </x:comment>
    <x:comment ref="C30" authorId="2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litigation costs.</x:t>
        </x:r>
      </x:text>
    </x:comment>
    <x:comment ref="C31" authorId="2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pretax income.</x:t>
        </x:r>
      </x:text>
    </x:comment>
    <x:comment ref="C32" authorId="2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net interest expense.</x:t>
        </x:r>
      </x:text>
    </x:comment>
    <x:comment ref="C33" authorId="2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consolidated net income.</x:t>
        </x:r>
      </x:text>
    </x:comment>
    <x:comment ref="C34" authorId="2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parent net loss.</x:t>
        </x:r>
      </x:text>
    </x:comment>
    <x:comment ref="C35" authorId="2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revenue.</x:t>
        </x:r>
      </x:text>
    </x:comment>
    <x:comment ref="C36" authorId="28">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operating income.</x:t>
        </x:r>
      </x:text>
    </x:comment>
    <x:comment ref="C37" authorId="29">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D&amp;A.</x:t>
        </x:r>
      </x:text>
    </x:comment>
    <x:comment ref="C38" authorId="3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company Adjusted EBITDA.</x:t>
        </x:r>
      </x:text>
    </x:comment>
    <x:comment ref="C39" authorId="3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NCI net income.</x:t>
        </x:r>
      </x:text>
    </x:comment>
    <x:comment ref="C40" authorId="3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NCI cash distributions.</x:t>
        </x:r>
      </x:text>
    </x:comment>
    <x:comment ref="C41" authorId="3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cash from operations.</x:t>
        </x:r>
      </x:text>
    </x:comment>
    <x:comment ref="C42" authorId="3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capex.</x:t>
        </x:r>
      </x:text>
    </x:comment>
    <x:comment ref="C43" authorId="3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SBC.</x:t>
        </x:r>
      </x:text>
    </x:comment>
    <x:comment ref="C44" authorId="3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Prior H1 operating income.</x:t>
        </x:r>
      </x:text>
    </x:comment>
    <x:comment ref="C45" authorId="3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Prior H1 D&amp;A.</x:t>
        </x:r>
      </x:text>
    </x:comment>
    <x:comment ref="C46" authorId="38">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Prior H1 company Adjusted EBITDA.</x:t>
        </x:r>
      </x:text>
    </x:comment>
    <x:comment ref="C47" authorId="39">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Prior H1 NCI net income.</x:t>
        </x:r>
      </x:text>
    </x:comment>
    <x:comment ref="C48" authorId="40">
      <x:text>
        <x:r>
          <x:t>[Threaded comment]
Your version of Excel allows you to read this threaded comment; however, any edits to it will get removed if the file is opened in a newer version of Excel. Learn more: https://go.microsoft.com/fwlink/?linkid=870924
Comment:
    Source: https://ir.surgerypartners.com/node/12016/html ; Note 3. Debt issuance costs $29.9m plus separate term-loan fair value discount $1.1m.</x:t>
        </x:r>
      </x:text>
    </x:comment>
  </x:commentList>
</x:comments>
</file>

<file path=xl/sharedStrings.xml><?xml version="1.0" encoding="utf-8"?>
<x:sst xmlns:x="http://schemas.openxmlformats.org/spreadsheetml/2006/main">
  <x:si>
    <x:t xml:space="preserve">HISTORICAL FINANCIALS</x:t>
  </x:si>
  <x:si>
    <x:t xml:space="preserve">Income statement (consolidated)</x:t>
  </x:si>
  <x:si>
    <x:t xml:space="preserve">($ in millions)</x:t>
  </x:si>
  <x:si>
    <x:t xml:space="preserve">FY2021</x:t>
  </x:si>
  <x:si>
    <x:t xml:space="preserve">FY2022</x:t>
  </x:si>
  <x:si>
    <x:t xml:space="preserve">FY2023</x:t>
  </x:si>
  <x:si>
    <x:t xml:space="preserve">FY2024</x:t>
  </x:si>
  <x:si>
    <x:t xml:space="preserve">FY2025</x:t>
  </x:si>
  <x:si>
    <x:t xml:space="preserve">12/31/21</x:t>
  </x:si>
  <x:si>
    <x:t xml:space="preserve">12/31/22</x:t>
  </x:si>
  <x:si>
    <x:t xml:space="preserve">12/31/23</x:t>
  </x:si>
  <x:si>
    <x:t xml:space="preserve">12/31/24</x:t>
  </x:si>
  <x:si>
    <x:t xml:space="preserve">12/31/25</x:t>
  </x:si>
  <x:si>
    <x:t xml:space="preserve">Total revenue</x:t>
  </x:si>
  <x:si>
    <x:t xml:space="preserve">Operating income (GAAP)</x:t>
  </x:si>
  <x:si>
    <x:t xml:space="preserve">Depreciation &amp; amortization</x:t>
  </x:si>
  <x:si>
    <x:t xml:space="preserve">GAAP EBITDA (op inc + D&amp;A)</x:t>
  </x:si>
  <x:si>
    <x:t xml:space="preserve">Cash flow (selected)</x:t>
  </x:si>
  <x:si>
    <x:t xml:space="preserve">Operating cash flow</x:t>
  </x:si>
  <x:si>
    <x:t xml:space="preserve">Capital expenditures</x:t>
  </x:si>
  <x:si>
    <x:t xml:space="preserve">Stock-based compensation</x:t>
  </x:si>
  <x:si>
    <x:t xml:space="preserve">Cash acquisitions (serial M&amp;A)</x:t>
  </x:si>
</x:sst>
</file>

<file path=xl/styles.xml><?xml version="1.0" encoding="utf-8"?>
<x:styleSheet xmlns:x="http://schemas.openxmlformats.org/spreadsheetml/2006/main">
  <x:numFmts count="16">
    <x:numFmt numFmtId="164" formatCode="General"/>
    <x:numFmt numFmtId="165" formatCode="\$#,##0.00;&quot;($&quot;#,##0.00\);\-"/>
    <x:numFmt numFmtId="166" formatCode="\$#,##0;&quot;($&quot;#,##0\);\-"/>
    <x:numFmt numFmtId="167" formatCode="0"/>
    <x:numFmt numFmtId="168" formatCode="0.0%;\(0.0%\);\-"/>
    <x:numFmt numFmtId="169" formatCode="#,##0.0"/>
    <x:numFmt numFmtId="170" formatCode="0.00"/>
    <x:numFmt numFmtId="171" formatCode="0.0\x;\(0.0&quot;x)&quot;;\-"/>
    <x:numFmt numFmtId="172" formatCode="0.000"/>
    <x:numFmt numFmtId="173" formatCode="0.00\x"/>
    <x:numFmt numFmtId="200" formatCode="@"/>
    <x:numFmt numFmtId="201" formatCode="0.0%;(0.0%);&quot;—&quot;"/>
    <x:numFmt numFmtId="202" formatCode="#,##0.0;(#,##0.0);&quot;—&quot;"/>
    <x:numFmt numFmtId="203" formatCode="0.0&quot;x&quot;"/>
    <x:numFmt numFmtId="204" formatCode="$0.00;($0.00);$0.00"/>
    <x:numFmt numFmtId="205" formatCode="yyyy-mm-dd"/>
  </x:numFmts>
  <x:fonts count="37">
    <x:font>
      <x:sz val="11"/>
      <x:color theme="1"/>
      <x:name val="Calibri"/>
    </x:font>
    <x:font>
      <x:sz val="10"/>
      <x:name val="Arial"/>
    </x:font>
    <x:font>
      <x:sz val="10"/>
      <x:name val="Arial"/>
    </x:font>
    <x:font>
      <x:sz val="10"/>
      <x:name val="Arial"/>
    </x:font>
    <x:font>
      <x:b/>
      <x:sz val="16"/>
      <x:color rgb="FFFFFFFF"/>
      <x:name val="Arial"/>
    </x:font>
    <x:font>
      <x:i/>
      <x:sz val="9"/>
      <x:color rgb="FFB8860B"/>
      <x:name val="Arial"/>
    </x:font>
    <x:font>
      <x:b/>
      <x:sz val="12"/>
      <x:color rgb="FF1A1A17"/>
      <x:name val="Arial"/>
    </x:font>
    <x:font>
      <x:sz val="10"/>
      <x:color rgb="FF1A1A17"/>
      <x:name val="Arial"/>
    </x:font>
    <x:font>
      <x:b/>
      <x:sz val="10"/>
      <x:color rgb="FF1A1A17"/>
      <x:name val="Arial"/>
    </x:font>
    <x:font>
      <x:b/>
      <x:sz val="10"/>
      <x:color rgb="FF0000FF"/>
      <x:name val="Arial"/>
    </x:font>
    <x:font>
      <x:b/>
      <x:sz val="10"/>
      <x:color rgb="FF000000"/>
      <x:name val="Arial"/>
    </x:font>
    <x:font>
      <x:b/>
      <x:sz val="10"/>
      <x:color rgb="FF008000"/>
      <x:name val="Arial"/>
    </x:font>
    <x:font>
      <x:b/>
      <x:sz val="10"/>
      <x:color rgb="FFFF0000"/>
      <x:name val="Arial"/>
    </x:font>
    <x:font>
      <x:b/>
      <x:sz val="11"/>
      <x:color rgb="FF1A1A17"/>
      <x:name val="Arial"/>
    </x:font>
    <x:font>
      <x:sz val="10"/>
      <x:color rgb="FF008000"/>
      <x:name val="Arial"/>
    </x:font>
    <x:font>
      <x:sz val="9"/>
      <x:color rgb="FF1A1A17"/>
      <x:name val="Arial"/>
    </x:font>
    <x:font>
      <x:sz val="10"/>
      <x:color rgb="FF0000FF"/>
      <x:name val="Arial"/>
    </x:font>
    <x:font>
      <x:b/>
      <x:sz val="11"/>
      <x:color rgb="FFB8860B"/>
      <x:name val="Arial"/>
    </x:font>
    <x:font>
      <x:b/>
      <x:sz val="18"/>
      <x:color rgb="FF000000"/>
      <x:name val="Calibri"/>
    </x:font>
    <x:font>
      <x:sz val="10"/>
      <x:color rgb="FF000000"/>
      <x:name val="Calibri"/>
    </x:font>
    <x:font>
      <x:b/>
      <x:sz val="10"/>
      <x:color rgb="FFB8860B"/>
      <x:name val="Arial"/>
    </x:font>
    <x:font>
      <x:i/>
      <x:sz val="8"/>
      <x:color rgb="FF1A1A17"/>
      <x:name val="Arial"/>
    </x:font>
    <x:font>
      <x:sz val="10"/>
      <x:color rgb="FF000000"/>
      <x:name val="Arial"/>
    </x:font>
    <x:font>
      <x:i/>
      <x:sz val="8"/>
      <x:color rgb="FFFF0000"/>
      <x:name val="Arial"/>
    </x:font>
    <x:font>
      <x:sz val="9"/>
      <x:color rgb="FFFF0000"/>
      <x:name val="Arial"/>
    </x:font>
    <x:font>
      <x:sz val="10"/>
      <x:color rgb="FFFF0000"/>
      <x:name val="Arial"/>
    </x:font>
    <x:font>
      <x:i/>
      <x:sz val="10"/>
      <x:color rgb="FF000000"/>
      <x:name val="Arial"/>
    </x:font>
    <x:font>
      <x:sz val="10"/>
      <x:name val="Arial"/>
    </x:font>
    <x:font>
      <x:b/>
      <x:sz val="10"/>
      <x:name val="Arial"/>
    </x:font>
    <x:font>
      <x:i/>
      <x:sz val="9"/>
      <x:color rgb="FFFF0000"/>
      <x:name val="Arial"/>
    </x:font>
    <x:font>
      <x:b/>
      <x:sz val="9"/>
      <x:color rgb="FF1A1A17"/>
      <x:name val="Arial"/>
    </x:font>
    <x:font>
      <x:b/>
      <x:sz val="11"/>
      <x:color rgb="FF008000"/>
      <x:name val="Arial"/>
    </x:font>
    <x:font>
      <x:i/>
      <x:sz val="9"/>
      <x:color rgb="FF1A1A17"/>
      <x:name val="Arial"/>
    </x:font>
    <x:font>
      <x:i/>
      <x:sz val="10"/>
      <x:color rgb="FF1A1A17"/>
      <x:name val="Arial"/>
    </x:font>
    <x:font>
      <x:b/>
      <x:i/>
      <x:sz val="10"/>
      <x:color rgb="FF1A1A17"/>
      <x:name val="Arial"/>
    </x:font>
    <x:font>
      <x:sz val="11"/>
      <x:color rgb="FF1A1A17"/>
      <x:name val="Calibri"/>
    </x:font>
    <x:font>
      <x:i/>
      <x:sz val="10"/>
      <x:color rgb="FF0000FF"/>
      <x:name val="Arial"/>
    </x:font>
  </x:fonts>
  <x:fills count="11">
    <x:fill>
      <x:patternFill patternType="none"/>
    </x:fill>
    <x:fill>
      <x:patternFill patternType="gray125"/>
    </x:fill>
    <x:fill>
      <x:patternFill patternType="solid">
        <x:fgColor rgb="FF2E2A22"/>
      </x:patternFill>
    </x:fill>
    <x:fill>
      <x:patternFill patternType="solid">
        <x:fgColor rgb="FFFDF7EE"/>
      </x:patternFill>
    </x:fill>
    <x:fill>
      <x:patternFill patternType="solid">
        <x:fgColor rgb="FFEFE6D2"/>
      </x:patternFill>
    </x:fill>
    <x:fill>
      <x:patternFill patternType="solid">
        <x:fgColor rgb="FFFFF2A8"/>
      </x:patternFill>
    </x:fill>
    <x:fill>
      <x:patternFill patternType="solid">
        <x:fgColor rgb="FFF3E6C4"/>
      </x:patternFill>
    </x:fill>
    <x:fill>
      <x:patternFill patternType="solid">
        <x:fgColor rgb="FFFDF7EE"/>
      </x:patternFill>
    </x:fill>
    <x:fill>
      <x:patternFill patternType="solid">
        <x:fgColor rgb="FF2E2A22"/>
      </x:patternFill>
    </x:fill>
    <x:fill>
      <x:patternFill patternType="solid">
        <x:fgColor rgb="FFFFF2CC"/>
      </x:patternFill>
    </x:fill>
    <x:fill>
      <x:patternFill patternType="solid">
        <x:fgColor rgb="FFEFE6D2"/>
      </x:patternFill>
    </x:fill>
  </x:fills>
  <x:borders count="2">
    <x:border diagonalUp="0" diagonalDown="0"/>
    <x:border diagonalUp="0" diagonalDown="0">
      <x:top style="thin">
        <x:color rgb="FF847047"/>
      </x:top>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308">
    <x:xf numFmtId="164" fontId="0" fillId="0" borderId="0" xfId="0" applyFont="0" applyBorder="0" applyAlignment="0">
      <x:alignment horizontal="general" vertical="bottom" wrapText="0"/>
    </x:xf>
    <x:xf numFmtId="164" fontId="4" fillId="2" borderId="0" xfId="0" applyFont="1" applyBorder="1" applyAlignment="1">
      <x:alignment horizontal="left" vertical="center" wrapText="0"/>
    </x:xf>
    <x:xf numFmtId="164" fontId="0" fillId="3" borderId="0" xfId="0" applyFont="0" applyBorder="0" applyAlignment="0">
      <x:alignment horizontal="general" vertical="bottom" wrapText="0"/>
    </x:xf>
    <x:xf numFmtId="164" fontId="5" fillId="3" borderId="0" xfId="0" applyFont="1" applyBorder="1" applyAlignment="0">
      <x:alignment horizontal="general" vertical="bottom" wrapText="0"/>
    </x:xf>
    <x:xf numFmtId="164" fontId="6" fillId="3" borderId="0" xfId="0" applyFont="1" applyBorder="0" applyAlignment="0">
      <x:alignment horizontal="general" vertical="bottom" wrapText="0"/>
    </x:xf>
    <x:xf numFmtId="164" fontId="7" fillId="3" borderId="0" xfId="0" applyFont="1" applyBorder="1" applyAlignment="1">
      <x:alignment horizontal="left" vertical="top" wrapText="1"/>
    </x:xf>
    <x:xf numFmtId="164" fontId="8" fillId="3" borderId="0" xfId="0" applyFont="1" applyBorder="0" applyAlignment="0">
      <x:alignment horizontal="general" vertical="bottom" wrapText="0"/>
    </x:xf>
    <x:xf numFmtId="164" fontId="7" fillId="3" borderId="0" xfId="0" applyFont="1" applyBorder="0" applyAlignment="0">
      <x:alignment horizontal="general" vertical="bottom" wrapText="0"/>
    </x:xf>
    <x:xf numFmtId="164" fontId="5" fillId="3" borderId="0" xfId="0" applyFont="1" applyBorder="1" applyAlignment="1">
      <x:alignment horizontal="left" vertical="top" wrapText="1"/>
    </x:xf>
    <x:xf numFmtId="164" fontId="9" fillId="3" borderId="0" xfId="0" applyFont="1" applyBorder="0" applyAlignment="0">
      <x:alignment horizontal="general" vertical="bottom" wrapText="0"/>
    </x:xf>
    <x:xf numFmtId="164" fontId="10" fillId="3" borderId="0" xfId="0" applyFont="1" applyBorder="0" applyAlignment="0">
      <x:alignment horizontal="general" vertical="bottom" wrapText="0"/>
    </x:xf>
    <x:xf numFmtId="164" fontId="11" fillId="3" borderId="0" xfId="0" applyFont="1" applyBorder="0" applyAlignment="0">
      <x:alignment horizontal="general" vertical="bottom" wrapText="0"/>
    </x:xf>
    <x:xf numFmtId="164" fontId="12" fillId="3" borderId="0" xfId="0" applyFont="1" applyBorder="0" applyAlignment="0">
      <x:alignment horizontal="general" vertical="bottom" wrapText="0"/>
    </x:xf>
    <x:xf numFmtId="164" fontId="13" fillId="4" borderId="0" xfId="0" applyFont="1" applyBorder="1" applyAlignment="0">
      <x:alignment horizontal="general" vertical="bottom" wrapText="0"/>
    </x:xf>
    <x:xf numFmtId="164" fontId="8" fillId="3" borderId="0" xfId="0" applyFont="1" applyBorder="0" applyAlignment="1">
      <x:alignment horizontal="right" vertical="center" wrapText="0"/>
    </x:xf>
    <x:xf numFmtId="165" fontId="14" fillId="3" borderId="0" xfId="0" applyFont="1" applyBorder="0" applyAlignment="1">
      <x:alignment horizontal="right" vertical="center" wrapText="0"/>
    </x:xf>
    <x:xf numFmtId="165" fontId="8" fillId="3" borderId="0" xfId="0" applyFont="1" applyBorder="0" applyAlignment="1">
      <x:alignment horizontal="right" vertical="center" wrapText="0"/>
    </x:xf>
    <x:xf numFmtId="165" fontId="15" fillId="3" borderId="0" xfId="0" applyFont="1" applyBorder="0" applyAlignment="1">
      <x:alignment horizontal="right" vertical="center" wrapText="0"/>
    </x:xf>
    <x:xf numFmtId="165" fontId="16" fillId="3" borderId="0" xfId="0" applyFont="1" applyBorder="0" applyAlignment="1">
      <x:alignment horizontal="right" vertical="center" wrapText="0"/>
    </x:xf>
    <x:xf numFmtId="165" fontId="7" fillId="3" borderId="0" xfId="0" applyFont="1" applyBorder="0" applyAlignment="1">
      <x:alignment horizontal="right" vertical="center" wrapText="0"/>
    </x:xf>
    <x:xf numFmtId="165" fontId="17" fillId="3" borderId="0" xfId="0" applyFont="1" applyBorder="0" applyAlignment="1">
      <x:alignment horizontal="right" vertical="center" wrapText="0"/>
    </x:xf>
    <x:xf numFmtId="166" fontId="14" fillId="3" borderId="0" xfId="0" applyFont="1" applyBorder="0" applyAlignment="1">
      <x:alignment horizontal="right" vertical="center" wrapText="0"/>
    </x:xf>
    <x:xf numFmtId="164" fontId="15" fillId="3" borderId="0" xfId="0" applyFont="1" applyBorder="1" applyAlignment="1">
      <x:alignment horizontal="left" vertical="top" wrapText="1"/>
    </x:xf>
    <x:xf numFmtId="167" fontId="9" fillId="5" borderId="0" xfId="0" applyFont="1" applyBorder="0" applyAlignment="1">
      <x:alignment horizontal="right" vertical="center" wrapText="0"/>
    </x:xf>
    <x:xf numFmtId="164" fontId="20" fillId="3" borderId="0" xfId="0" applyFont="1" applyBorder="0" applyAlignment="1">
      <x:alignment horizontal="right" vertical="center" wrapText="0"/>
    </x:xf>
    <x:xf numFmtId="168" fontId="16" fillId="3" borderId="0" xfId="0" applyFont="1" applyBorder="0" applyAlignment="1">
      <x:alignment horizontal="right" vertical="center" wrapText="0"/>
    </x:xf>
    <x:xf numFmtId="168" fontId="8" fillId="3" borderId="0" xfId="0" applyFont="1" applyBorder="0" applyAlignment="1">
      <x:alignment horizontal="right" vertical="center" wrapText="0"/>
    </x:xf>
    <x:xf numFmtId="164" fontId="21" fillId="3" borderId="0" xfId="0" applyFont="1" applyBorder="0" applyAlignment="0">
      <x:alignment horizontal="general" vertical="bottom" wrapText="0"/>
    </x:xf>
    <x:xf numFmtId="166" fontId="16" fillId="3" borderId="0" xfId="0" applyFont="1" applyBorder="0" applyAlignment="1">
      <x:alignment horizontal="right" vertical="center" wrapText="0"/>
    </x:xf>
    <x:xf numFmtId="166" fontId="8" fillId="3" borderId="0" xfId="0" applyFont="1" applyBorder="0" applyAlignment="1">
      <x:alignment horizontal="right" vertical="center" wrapText="0"/>
    </x:xf>
    <x:xf numFmtId="169" fontId="16" fillId="3" borderId="0" xfId="0" applyFont="1" applyBorder="0" applyAlignment="1">
      <x:alignment horizontal="right" vertical="center" wrapText="0"/>
    </x:xf>
    <x:xf numFmtId="170" fontId="16" fillId="3" borderId="0" xfId="0" applyFont="1" applyBorder="0" applyAlignment="1">
      <x:alignment horizontal="right" vertical="center" wrapText="0"/>
    </x:xf>
    <x:xf numFmtId="171" fontId="16" fillId="3" borderId="0" xfId="0" applyFont="1" applyBorder="0" applyAlignment="1">
      <x:alignment horizontal="right" vertical="center" wrapText="0"/>
    </x:xf>
    <x:xf numFmtId="167" fontId="16" fillId="3" borderId="0" xfId="0" applyFont="1" applyBorder="0" applyAlignment="1">
      <x:alignment horizontal="right" vertical="center" wrapText="0"/>
    </x:xf>
    <x:xf numFmtId="164" fontId="21" fillId="3" borderId="0" xfId="0" applyFont="1" applyBorder="0" applyAlignment="1">
      <x:alignment horizontal="right" vertical="center" wrapText="0"/>
    </x:xf>
    <x:xf numFmtId="166" fontId="10" fillId="3" borderId="0" xfId="0" applyFont="1" applyBorder="0" applyAlignment="1">
      <x:alignment horizontal="right" vertical="center" wrapText="0"/>
    </x:xf>
    <x:xf numFmtId="164" fontId="22" fillId="3" borderId="0" xfId="0" applyFont="1" applyBorder="0" applyAlignment="0">
      <x:alignment horizontal="general" vertical="bottom" wrapText="0"/>
    </x:xf>
    <x:xf numFmtId="166" fontId="22" fillId="3" borderId="0" xfId="0" applyFont="1" applyBorder="0" applyAlignment="1">
      <x:alignment horizontal="right" vertical="center" wrapText="0"/>
    </x:xf>
    <x:xf numFmtId="166" fontId="12" fillId="3" borderId="0" xfId="0" applyFont="1" applyBorder="0" applyAlignment="1">
      <x:alignment horizontal="right" vertical="center" wrapText="0"/>
    </x:xf>
    <x:xf numFmtId="164" fontId="23" fillId="3" borderId="0" xfId="0" applyFont="1" applyBorder="0" applyAlignment="0">
      <x:alignment horizontal="general" vertical="bottom" wrapText="0"/>
    </x:xf>
    <x:xf numFmtId="164" fontId="15" fillId="3" borderId="0" xfId="0" applyFont="1" applyBorder="1" applyAlignment="0">
      <x:alignment horizontal="general" vertical="bottom" wrapText="0"/>
    </x:xf>
    <x:xf numFmtId="164" fontId="24" fillId="3" borderId="0" xfId="0" applyFont="1" applyBorder="1" applyAlignment="0">
      <x:alignment horizontal="general" vertical="bottom" wrapText="0"/>
    </x:xf>
    <x:xf numFmtId="164" fontId="25" fillId="3" borderId="0" xfId="0" applyFont="1" applyBorder="0" applyAlignment="0">
      <x:alignment horizontal="general" vertical="bottom" wrapText="0"/>
    </x:xf>
    <x:xf numFmtId="166" fontId="25" fillId="3" borderId="0" xfId="0" applyFont="1" applyBorder="0" applyAlignment="1">
      <x:alignment horizontal="right" vertical="center" wrapText="0"/>
    </x:xf>
    <x:xf numFmtId="164" fontId="26" fillId="3" borderId="0" xfId="0" applyFont="1" applyBorder="0" applyAlignment="0">
      <x:alignment horizontal="general" vertical="bottom" wrapText="0"/>
    </x:xf>
    <x:xf numFmtId="168" fontId="26" fillId="3" borderId="0" xfId="0" applyFont="1" applyBorder="0" applyAlignment="1">
      <x:alignment horizontal="right" vertical="center" wrapText="0"/>
    </x:xf>
    <x:xf numFmtId="165" fontId="25" fillId="3" borderId="0" xfId="0" applyFont="1" applyBorder="0" applyAlignment="1">
      <x:alignment horizontal="right" vertical="center" wrapText="0"/>
    </x:xf>
    <x:xf numFmtId="166" fontId="11" fillId="3" borderId="0" xfId="0" applyFont="1" applyBorder="0" applyAlignment="1">
      <x:alignment horizontal="right" vertical="center" wrapText="0"/>
    </x:xf>
    <x:xf numFmtId="164" fontId="8" fillId="3" borderId="0" xfId="0" applyFont="1" applyBorder="0" applyAlignment="1">
      <x:alignment horizontal="left" vertical="center" wrapText="0"/>
    </x:xf>
    <x:xf numFmtId="171" fontId="7" fillId="3" borderId="0" xfId="0" applyFont="1" applyBorder="0" applyAlignment="1">
      <x:alignment horizontal="right" vertical="center" wrapText="0"/>
    </x:xf>
    <x:xf numFmtId="171" fontId="8" fillId="3" borderId="0" xfId="0" applyFont="1" applyBorder="0" applyAlignment="1">
      <x:alignment horizontal="right" vertical="center" wrapText="0"/>
    </x:xf>
    <x:xf numFmtId="164" fontId="20" fillId="3" borderId="0" xfId="0" applyFont="1" applyBorder="0" applyAlignment="0">
      <x:alignment horizontal="general" vertical="bottom" wrapText="0"/>
    </x:xf>
    <x:xf numFmtId="171" fontId="20" fillId="3" borderId="0" xfId="0" applyFont="1" applyBorder="0" applyAlignment="1">
      <x:alignment horizontal="right" vertical="center" wrapText="0"/>
    </x:xf>
    <x:xf numFmtId="165" fontId="10" fillId="6" borderId="0" xfId="0" applyFont="1" applyBorder="0" applyAlignment="1">
      <x:alignment horizontal="right" vertical="center" wrapText="0"/>
    </x:xf>
    <x:xf numFmtId="168" fontId="14" fillId="3" borderId="0" xfId="0" applyFont="1" applyBorder="0" applyAlignment="1">
      <x:alignment horizontal="right" vertical="center" wrapText="0"/>
    </x:xf>
    <x:xf numFmtId="170" fontId="14" fillId="3" borderId="0" xfId="0" applyFont="1" applyBorder="0" applyAlignment="1">
      <x:alignment horizontal="right" vertical="center" wrapText="0"/>
    </x:xf>
    <x:xf numFmtId="168" fontId="10" fillId="3" borderId="0" xfId="0" applyFont="1" applyBorder="0" applyAlignment="1">
      <x:alignment horizontal="right" vertical="center" wrapText="0"/>
    </x:xf>
    <x:xf numFmtId="168" fontId="22" fillId="3" borderId="0" xfId="0" applyFont="1" applyBorder="0" applyAlignment="1">
      <x:alignment horizontal="right" vertical="center" wrapText="0"/>
    </x:xf>
    <x:xf numFmtId="168" fontId="10" fillId="6" borderId="0" xfId="0" applyFont="1" applyBorder="0" applyAlignment="1">
      <x:alignment horizontal="right" vertical="center" wrapText="0"/>
    </x:xf>
    <x:xf numFmtId="170" fontId="7" fillId="3" borderId="0" xfId="0" applyFont="1" applyBorder="0" applyAlignment="1">
      <x:alignment horizontal="right" vertical="center" wrapText="0"/>
    </x:xf>
    <x:xf numFmtId="172" fontId="7" fillId="3" borderId="0" xfId="0" applyFont="1" applyBorder="0" applyAlignment="1">
      <x:alignment horizontal="right" vertical="center" wrapText="0"/>
    </x:xf>
    <x:xf numFmtId="164" fontId="11" fillId="3" borderId="0" xfId="0" applyFont="1" applyBorder="0" applyAlignment="1">
      <x:alignment horizontal="right" vertical="center" wrapText="0"/>
    </x:xf>
    <x:xf numFmtId="166" fontId="10" fillId="6" borderId="0" xfId="0" applyFont="1" applyBorder="0" applyAlignment="1">
      <x:alignment horizontal="right" vertical="center" wrapText="0"/>
    </x:xf>
    <x:xf numFmtId="171" fontId="22" fillId="3" borderId="0" xfId="0" applyFont="1" applyBorder="0" applyAlignment="1">
      <x:alignment horizontal="right" vertical="center" wrapText="0"/>
    </x:xf>
    <x:xf numFmtId="171" fontId="14" fillId="3" borderId="0" xfId="0" applyFont="1" applyBorder="0" applyAlignment="1">
      <x:alignment horizontal="right" vertical="center" wrapText="0"/>
    </x:xf>
    <x:xf numFmtId="164" fontId="21" fillId="3" borderId="0" xfId="0" applyFont="1" applyBorder="1" applyAlignment="1">
      <x:alignment horizontal="left" vertical="top" wrapText="1"/>
    </x:xf>
    <x:xf numFmtId="164" fontId="25" fillId="3" borderId="0" xfId="0" applyFont="1" applyBorder="1" applyAlignment="1">
      <x:alignment horizontal="left" vertical="top" wrapText="1"/>
    </x:xf>
    <x:xf numFmtId="165" fontId="22" fillId="3" borderId="0" xfId="0" applyFont="1" applyBorder="0" applyAlignment="1">
      <x:alignment horizontal="right" vertical="center" wrapText="0"/>
    </x:xf>
    <x:xf numFmtId="166" fontId="28" fillId="3" borderId="0" xfId="0" applyFont="1" applyBorder="0" applyAlignment="1">
      <x:alignment horizontal="right" vertical="center" wrapText="0"/>
    </x:xf>
    <x:xf numFmtId="171" fontId="28" fillId="3" borderId="0" xfId="0" applyFont="1" applyBorder="0" applyAlignment="1">
      <x:alignment horizontal="right" vertical="center" wrapText="0"/>
    </x:xf>
    <x:xf numFmtId="166" fontId="7" fillId="3" borderId="0" xfId="0" applyFont="1" applyBorder="0" applyAlignment="1">
      <x:alignment horizontal="right" vertical="center" wrapText="0"/>
    </x:xf>
    <x:xf numFmtId="173" fontId="28" fillId="3" borderId="0" xfId="0" applyFont="1" applyBorder="0" applyAlignment="1">
      <x:alignment horizontal="right" vertical="center" wrapText="0"/>
    </x:xf>
    <x:xf numFmtId="168" fontId="28" fillId="6" borderId="0" xfId="0" applyFont="1" applyBorder="0" applyAlignment="1">
      <x:alignment horizontal="right" vertical="center" wrapText="0"/>
    </x:xf>
    <x:xf numFmtId="165" fontId="28" fillId="6" borderId="0" xfId="0" applyFont="1" applyBorder="0" applyAlignment="1">
      <x:alignment horizontal="right" vertical="center" wrapText="0"/>
    </x:xf>
    <x:xf numFmtId="168" fontId="9" fillId="3" borderId="0" xfId="0" applyFont="1" applyBorder="0" applyAlignment="1">
      <x:alignment horizontal="right" vertical="center" wrapText="0"/>
    </x:xf>
    <x:xf numFmtId="171" fontId="9" fillId="3" borderId="0" xfId="0" applyFont="1" applyBorder="0" applyAlignment="1">
      <x:alignment horizontal="right" vertical="center" wrapText="0"/>
    </x:xf>
    <x:xf numFmtId="164" fontId="29" fillId="3" borderId="0" xfId="0" applyFont="1" applyBorder="0" applyAlignment="0">
      <x:alignment horizontal="general" vertical="bottom" wrapText="0"/>
    </x:xf>
    <x:xf numFmtId="164" fontId="15" fillId="3" borderId="0" xfId="0" applyFont="1" applyBorder="0" applyAlignment="0">
      <x:alignment horizontal="general" vertical="bottom" wrapText="0"/>
    </x:xf>
    <x:xf numFmtId="164" fontId="21" fillId="3" borderId="0" xfId="0" applyFont="1" applyBorder="0" applyAlignment="1">
      <x:alignment horizontal="left" vertical="top" wrapText="1"/>
    </x:xf>
    <x:xf numFmtId="164" fontId="30" fillId="3" borderId="0" xfId="0" applyFont="1" applyBorder="0" applyAlignment="0">
      <x:alignment horizontal="general" vertical="bottom" wrapText="0"/>
    </x:xf>
    <x:xf numFmtId="164" fontId="23" fillId="3" borderId="0" xfId="0" applyFont="1" applyBorder="1" applyAlignment="0">
      <x:alignment horizontal="general" vertical="bottom" wrapText="0"/>
    </x:xf>
    <x:xf numFmtId="168" fontId="7" fillId="3" borderId="0" xfId="0" applyFont="1" applyBorder="0" applyAlignment="1">
      <x:alignment horizontal="right" vertical="center" wrapText="0"/>
    </x:xf>
    <x:xf numFmtId="164" fontId="31" fillId="3" borderId="0" xfId="0" applyFont="1" applyBorder="0" applyAlignment="1">
      <x:alignment horizontal="right" vertical="center" wrapText="0"/>
    </x:xf>
    <x:xf numFmtId="164" fontId="32" fillId="3" borderId="0" xfId="0" applyFont="1" applyBorder="0" applyAlignment="0">
      <x:alignment horizontal="general" vertical="bottom" wrapText="0"/>
    </x:xf>
    <x:xf numFmtId="164" fontId="4" fillId="7" borderId="0" xfId="0" applyNumberFormat="1" applyFont="1" applyFill="1" applyBorder="1" applyAlignment="1">
      <x:alignment horizontal="left" vertical="center" wrapText="0"/>
    </x:xf>
    <x:xf numFmtId="164" fontId="0" fillId="7" borderId="0" xfId="0" applyNumberFormat="1" applyFont="1" applyFill="1" applyBorder="1" applyAlignment="1">
      <x:alignment horizontal="general" vertical="bottom" wrapText="0"/>
    </x:xf>
    <x:xf numFmtId="164" fontId="5" fillId="7" borderId="0" xfId="0" applyNumberFormat="1" applyFont="1" applyFill="1" applyBorder="1" applyAlignment="1">
      <x:alignment horizontal="general" vertical="bottom" wrapText="0"/>
    </x:xf>
    <x:xf numFmtId="164" fontId="13" fillId="7" borderId="0" xfId="0" applyNumberFormat="1" applyFont="1" applyFill="1" applyBorder="1" applyAlignment="1">
      <x:alignment horizontal="general" vertical="bottom" wrapText="0"/>
    </x:xf>
    <x:xf numFmtId="164" fontId="8" fillId="7" borderId="0" xfId="0" applyNumberFormat="1" applyFont="1" applyFill="1" applyBorder="1" applyAlignment="1">
      <x:alignment horizontal="general" vertical="bottom" wrapText="0"/>
    </x:xf>
    <x:xf numFmtId="167" fontId="9" fillId="7" borderId="0" xfId="0" applyNumberFormat="1" applyFont="1" applyFill="1" applyBorder="1" applyAlignment="1">
      <x:alignment horizontal="right" vertical="center" wrapText="0"/>
    </x:xf>
    <x:xf numFmtId="164" fontId="7" fillId="7" borderId="0" xfId="0" applyNumberFormat="1" applyFont="1" applyFill="1" applyBorder="1" applyAlignment="1">
      <x:alignment horizontal="general" vertical="bottom" wrapText="0"/>
    </x:xf>
    <x:xf numFmtId="164" fontId="20" fillId="7" borderId="0" xfId="0" applyNumberFormat="1" applyFont="1" applyFill="1" applyBorder="1" applyAlignment="1">
      <x:alignment horizontal="right" vertical="center" wrapText="0"/>
    </x:xf>
    <x:xf numFmtId="164" fontId="8" fillId="7" borderId="0" xfId="0" applyNumberFormat="1" applyFont="1" applyFill="1" applyBorder="1" applyAlignment="1">
      <x:alignment horizontal="right" vertical="center" wrapText="0"/>
    </x:xf>
    <x:xf numFmtId="168" fontId="16" fillId="7" borderId="0" xfId="0" applyNumberFormat="1" applyFont="1" applyFill="1" applyBorder="1" applyAlignment="1">
      <x:alignment horizontal="right" vertical="center" wrapText="0"/>
    </x:xf>
    <x:xf numFmtId="168" fontId="8" fillId="7" borderId="0" xfId="0" applyNumberFormat="1" applyFont="1" applyFill="1" applyBorder="1" applyAlignment="1">
      <x:alignment horizontal="right" vertical="center" wrapText="0"/>
    </x:xf>
    <x:xf numFmtId="164" fontId="21" fillId="7" borderId="0" xfId="0" applyNumberFormat="1" applyFont="1" applyFill="1" applyBorder="1" applyAlignment="1">
      <x:alignment horizontal="general" vertical="bottom" wrapText="0"/>
    </x:xf>
    <x:xf numFmtId="166" fontId="16" fillId="7" borderId="0" xfId="0" applyNumberFormat="1" applyFont="1" applyFill="1" applyBorder="1" applyAlignment="1">
      <x:alignment horizontal="right" vertical="center" wrapText="0"/>
    </x:xf>
    <x:xf numFmtId="166" fontId="8" fillId="7" borderId="0" xfId="0" applyNumberFormat="1" applyFont="1" applyFill="1" applyBorder="1" applyAlignment="1">
      <x:alignment horizontal="right" vertical="center" wrapText="0"/>
    </x:xf>
    <x:xf numFmtId="169" fontId="16" fillId="7" borderId="0" xfId="0" applyNumberFormat="1" applyFont="1" applyFill="1" applyBorder="1" applyAlignment="1">
      <x:alignment horizontal="right" vertical="center" wrapText="0"/>
    </x:xf>
    <x:xf numFmtId="170" fontId="16" fillId="7" borderId="0" xfId="0" applyNumberFormat="1" applyFont="1" applyFill="1" applyBorder="1" applyAlignment="1">
      <x:alignment horizontal="right" vertical="center" wrapText="0"/>
    </x:xf>
    <x:xf numFmtId="171" fontId="16" fillId="7" borderId="0" xfId="0" applyNumberFormat="1" applyFont="1" applyFill="1" applyBorder="1" applyAlignment="1">
      <x:alignment horizontal="right" vertical="center" wrapText="0"/>
    </x:xf>
    <x:xf numFmtId="167" fontId="16" fillId="7" borderId="0" xfId="0" applyNumberFormat="1" applyFont="1" applyFill="1" applyBorder="1" applyAlignment="1">
      <x:alignment horizontal="right" vertical="center" wrapText="0"/>
    </x:xf>
    <x:xf numFmtId="164" fontId="8" fillId="7" borderId="0" xfId="0" applyNumberFormat="1" applyFont="1" applyFill="1" applyBorder="1" applyAlignment="1">
      <x:alignment horizontal="left" vertical="center" wrapText="0"/>
    </x:xf>
    <x:xf numFmtId="164" fontId="33" fillId="7" borderId="0" xfId="0" applyNumberFormat="1" applyFont="1" applyFill="1" applyBorder="1" applyAlignment="1">
      <x:alignment horizontal="general" vertical="bottom" wrapText="0"/>
    </x:xf>
    <x:xf numFmtId="167" fontId="8" fillId="7" borderId="0" xfId="0" applyNumberFormat="1" applyFont="1" applyFill="1" applyBorder="1" applyAlignment="1">
      <x:alignment horizontal="right" vertical="center" wrapText="0"/>
    </x:xf>
    <x:xf numFmtId="168" fontId="7" fillId="7" borderId="0" xfId="0" applyNumberFormat="1" applyFont="1" applyFill="1" applyBorder="1" applyAlignment="1">
      <x:alignment horizontal="right" vertical="center" wrapText="0"/>
    </x:xf>
    <x:xf numFmtId="166" fontId="7" fillId="7" borderId="0" xfId="0" applyNumberFormat="1" applyFont="1" applyFill="1" applyBorder="1" applyAlignment="1">
      <x:alignment horizontal="right" vertical="center" wrapText="0"/>
    </x:xf>
    <x:xf numFmtId="169" fontId="7" fillId="7" borderId="0" xfId="0" applyNumberFormat="1" applyFont="1" applyFill="1" applyBorder="1" applyAlignment="1">
      <x:alignment horizontal="right" vertical="center" wrapText="0"/>
    </x:xf>
    <x:xf numFmtId="170" fontId="7" fillId="7" borderId="0" xfId="0" applyNumberFormat="1" applyFont="1" applyFill="1" applyBorder="1" applyAlignment="1">
      <x:alignment horizontal="right" vertical="center" wrapText="0"/>
    </x:xf>
    <x:xf numFmtId="171" fontId="7" fillId="7" borderId="0" xfId="0" applyNumberFormat="1" applyFont="1" applyFill="1" applyBorder="1" applyAlignment="1">
      <x:alignment horizontal="right" vertical="center" wrapText="0"/>
    </x:xf>
    <x:xf numFmtId="167" fontId="7" fillId="7" borderId="0" xfId="0" applyNumberFormat="1" applyFont="1" applyFill="1" applyBorder="1" applyAlignment="1">
      <x:alignment horizontal="right" vertical="center" wrapText="0"/>
    </x:xf>
    <x:xf numFmtId="164" fontId="8" fillId="8" borderId="0" xfId="0" applyNumberFormat="1" applyFont="1" applyFill="1" applyBorder="1" applyAlignment="1">
      <x:alignment horizontal="left" vertical="center" wrapText="0"/>
    </x:xf>
    <x:xf numFmtId="164" fontId="7" fillId="8" borderId="0" xfId="0" applyNumberFormat="1" applyFont="1" applyFill="1" applyBorder="1" applyAlignment="1">
      <x:alignment horizontal="general" vertical="bottom" wrapText="0"/>
    </x:xf>
    <x:xf numFmtId="164" fontId="4" fillId="8" borderId="0" xfId="0" applyNumberFormat="1" applyFont="1" applyFill="1" applyBorder="1" applyAlignment="1">
      <x:alignment horizontal="left" vertical="center" wrapText="0"/>
    </x:xf>
    <x:xf numFmtId="164" fontId="4" fillId="8" borderId="0" xfId="0" applyNumberFormat="1" applyFont="1" applyFill="1" applyBorder="1" applyAlignment="1">
      <x:alignment horizontal="general" vertical="bottom" wrapText="0"/>
    </x:xf>
    <x:xf numFmtId="164" fontId="33" fillId="7" borderId="0" xfId="0" applyNumberFormat="1" applyFont="1" applyFill="1" applyBorder="1" applyAlignment="1">
      <x:alignment horizontal="general" vertical="bottom" wrapText="1"/>
    </x:xf>
    <x:xf numFmtId="164" fontId="7" fillId="7" borderId="0" xfId="0" applyNumberFormat="1" applyFont="1" applyFill="1" applyBorder="1" applyAlignment="1">
      <x:alignment horizontal="general" vertical="bottom" wrapText="1"/>
    </x:xf>
    <x:xf numFmtId="164" fontId="33" fillId="7" borderId="0" xfId="0" applyNumberFormat="1" applyFont="1" applyFill="1" applyBorder="1" applyAlignment="1">
      <x:alignment horizontal="general" vertical="top" wrapText="1"/>
    </x:xf>
    <x:xf numFmtId="164" fontId="7" fillId="7" borderId="0" xfId="0" applyNumberFormat="1" applyFont="1" applyFill="1" applyBorder="1" applyAlignment="1">
      <x:alignment horizontal="general" vertical="top" wrapText="1"/>
    </x:xf>
    <x:xf numFmtId="167" fontId="9" fillId="9" borderId="0" xfId="0" applyNumberFormat="1" applyFont="1" applyFill="1" applyBorder="1" applyAlignment="1">
      <x:alignment horizontal="right" vertical="center" wrapText="0"/>
    </x:xf>
    <x:xf numFmtId="200" fontId="8" fillId="7" borderId="0" xfId="0" applyNumberFormat="1" applyFont="1" applyFill="1" applyBorder="1" applyAlignment="1">
      <x:alignment horizontal="right" vertical="center" wrapText="0"/>
    </x:xf>
    <x:xf numFmtId="164" fontId="8" fillId="10" borderId="0" xfId="0" applyNumberFormat="1" applyFont="1" applyFill="1" applyBorder="1" applyAlignment="1">
      <x:alignment horizontal="general" vertical="bottom" wrapText="0"/>
    </x:xf>
    <x:xf numFmtId="164" fontId="7" fillId="10" borderId="0" xfId="0" applyNumberFormat="1" applyFont="1" applyFill="1" applyBorder="1" applyAlignment="1">
      <x:alignment horizontal="general" vertical="bottom" wrapText="0"/>
    </x:xf>
    <x:xf numFmtId="201" fontId="7" fillId="7" borderId="0" xfId="0" applyNumberFormat="1" applyFont="1" applyFill="1" applyBorder="1" applyAlignment="1">
      <x:alignment horizontal="right" vertical="center" wrapText="0"/>
    </x:xf>
    <x:xf numFmtId="201" fontId="16" fillId="7" borderId="0" xfId="0" applyNumberFormat="1" applyFont="1" applyFill="1" applyBorder="1" applyAlignment="1">
      <x:alignment horizontal="right" vertical="center" wrapText="0"/>
    </x:xf>
    <x:xf numFmtId="201" fontId="16" fillId="9" borderId="0" xfId="0" applyNumberFormat="1" applyFont="1" applyFill="1" applyBorder="1" applyAlignment="1">
      <x:alignment horizontal="right" vertical="center" wrapText="0"/>
    </x:xf>
    <x:xf numFmtId="201" fontId="8" fillId="7" borderId="0" xfId="0" applyNumberFormat="1" applyFont="1" applyFill="1" applyBorder="1" applyAlignment="1">
      <x:alignment horizontal="right" vertical="center" wrapText="0"/>
    </x:xf>
    <x:xf numFmtId="202" fontId="7" fillId="7" borderId="0" xfId="0" applyNumberFormat="1" applyFont="1" applyFill="1" applyBorder="1" applyAlignment="1">
      <x:alignment horizontal="right" vertical="center" wrapText="0"/>
    </x:xf>
    <x:xf numFmtId="202" fontId="16" fillId="7" borderId="0" xfId="0" applyNumberFormat="1" applyFont="1" applyFill="1" applyBorder="1" applyAlignment="1">
      <x:alignment horizontal="right" vertical="center" wrapText="0"/>
    </x:xf>
    <x:xf numFmtId="202" fontId="16" fillId="9" borderId="0" xfId="0" applyNumberFormat="1" applyFont="1" applyFill="1" applyBorder="1" applyAlignment="1">
      <x:alignment horizontal="right" vertical="center" wrapText="0"/>
    </x:xf>
    <x:xf numFmtId="202" fontId="8" fillId="7" borderId="0" xfId="0" applyNumberFormat="1" applyFont="1" applyFill="1" applyBorder="1" applyAlignment="1">
      <x:alignment horizontal="right" vertical="center" wrapText="0"/>
    </x:xf>
    <x:xf numFmtId="201" fontId="7" fillId="7" borderId="0" xfId="0" applyNumberFormat="1" applyFont="1" applyFill="1" applyBorder="1" applyAlignment="1">
      <x:alignment horizontal="general" vertical="bottom" wrapText="0"/>
    </x:xf>
    <x:xf numFmtId="201" fontId="16" fillId="7" borderId="0" xfId="0" applyNumberFormat="1" applyFont="1" applyFill="1" applyBorder="1" applyAlignment="1">
      <x:alignment horizontal="general" vertical="bottom" wrapText="0"/>
    </x:xf>
    <x:xf numFmtId="201" fontId="16" fillId="9" borderId="0" xfId="0" applyNumberFormat="1" applyFont="1" applyFill="1" applyBorder="1" applyAlignment="1">
      <x:alignment horizontal="general" vertical="bottom" wrapText="0"/>
    </x:xf>
    <x:xf numFmtId="201" fontId="8" fillId="7" borderId="0" xfId="0" applyNumberFormat="1" applyFont="1" applyFill="1" applyBorder="1" applyAlignment="1">
      <x:alignment horizontal="general" vertical="bottom" wrapText="0"/>
    </x:xf>
    <x:xf numFmtId="201" fontId="9" fillId="7" borderId="0" xfId="0" applyNumberFormat="1" applyFont="1" applyFill="1" applyBorder="1" applyAlignment="1">
      <x:alignment horizontal="general" vertical="bottom" wrapText="0"/>
    </x:xf>
    <x:xf numFmtId="201" fontId="9" fillId="9" borderId="0" xfId="0" applyNumberFormat="1" applyFont="1" applyFill="1" applyBorder="1" applyAlignment="1">
      <x:alignment horizontal="general" vertical="bottom" wrapText="0"/>
    </x:xf>
    <x:xf numFmtId="164" fontId="8" fillId="7" borderId="0" xfId="0" applyNumberFormat="1" applyFont="1" applyFill="1" applyBorder="1" applyAlignment="1">
      <x:alignment horizontal="general" vertical="bottom" wrapText="1"/>
    </x:xf>
    <x:xf numFmtId="202" fontId="7" fillId="7" borderId="0" xfId="0" applyNumberFormat="1" applyFont="1" applyFill="1" applyBorder="1" applyAlignment="1">
      <x:alignment horizontal="general" vertical="bottom" wrapText="0"/>
    </x:xf>
    <x:xf numFmtId="202" fontId="16" fillId="7" borderId="0" xfId="0" applyNumberFormat="1" applyFont="1" applyFill="1" applyBorder="1" applyAlignment="1">
      <x:alignment horizontal="general" vertical="bottom" wrapText="0"/>
    </x:xf>
    <x:xf numFmtId="202" fontId="16" fillId="9" borderId="0" xfId="0" applyNumberFormat="1" applyFont="1" applyFill="1" applyBorder="1" applyAlignment="1">
      <x:alignment horizontal="general" vertical="bottom" wrapText="0"/>
    </x:xf>
    <x:xf numFmtId="169" fontId="7" fillId="10" borderId="0" xfId="0" applyNumberFormat="1" applyFont="1" applyFill="1" applyBorder="1" applyAlignment="1">
      <x:alignment horizontal="right" vertical="center" wrapText="0"/>
    </x:xf>
    <x:xf numFmtId="164" fontId="33" fillId="10" borderId="0" xfId="0" applyNumberFormat="1" applyFont="1" applyFill="1" applyBorder="1" applyAlignment="1">
      <x:alignment horizontal="general" vertical="bottom" wrapText="0"/>
    </x:xf>
    <x:xf numFmtId="169" fontId="8" fillId="10" borderId="0" xfId="0" applyNumberFormat="1" applyFont="1" applyFill="1" applyBorder="1" applyAlignment="1">
      <x:alignment horizontal="right" vertical="center" wrapText="0"/>
    </x:xf>
    <x:xf numFmtId="164" fontId="34" fillId="10" borderId="0" xfId="0" applyNumberFormat="1" applyFont="1" applyFill="1" applyBorder="1" applyAlignment="1">
      <x:alignment horizontal="general" vertical="bottom" wrapText="0"/>
    </x:xf>
    <x:xf numFmtId="170" fontId="16" fillId="9" borderId="0" xfId="0" applyNumberFormat="1" applyFont="1" applyFill="1" applyBorder="1" applyAlignment="1">
      <x:alignment horizontal="right" vertical="center" wrapText="0"/>
    </x:xf>
    <x:xf numFmtId="203" fontId="7" fillId="7" borderId="0" xfId="0" applyNumberFormat="1" applyFont="1" applyFill="1" applyBorder="1" applyAlignment="1">
      <x:alignment horizontal="right" vertical="center" wrapText="0"/>
    </x:xf>
    <x:xf numFmtId="203" fontId="16" fillId="7" borderId="0" xfId="0" applyNumberFormat="1" applyFont="1" applyFill="1" applyBorder="1" applyAlignment="1">
      <x:alignment horizontal="right" vertical="center" wrapText="0"/>
    </x:xf>
    <x:xf numFmtId="203" fontId="16" fillId="9" borderId="0" xfId="0" applyNumberFormat="1" applyFont="1" applyFill="1" applyBorder="1" applyAlignment="1">
      <x:alignment horizontal="right" vertical="center" wrapText="0"/>
    </x:xf>
    <x:xf numFmtId="203" fontId="7" fillId="7" borderId="0" xfId="0" applyNumberFormat="1" applyFont="1" applyFill="1" applyBorder="1" applyAlignment="1">
      <x:alignment horizontal="general" vertical="bottom" wrapText="0"/>
    </x:xf>
    <x:xf numFmtId="203" fontId="16" fillId="7" borderId="0" xfId="0" applyNumberFormat="1" applyFont="1" applyFill="1" applyBorder="1" applyAlignment="1">
      <x:alignment horizontal="general" vertical="bottom" wrapText="0"/>
    </x:xf>
    <x:xf numFmtId="203" fontId="16" fillId="9" borderId="0" xfId="0" applyNumberFormat="1" applyFont="1" applyFill="1" applyBorder="1" applyAlignment="1">
      <x:alignment horizontal="general" vertical="bottom" wrapText="0"/>
    </x:xf>
    <x:xf numFmtId="204" fontId="7" fillId="7" borderId="0" xfId="0" applyNumberFormat="1" applyFont="1" applyFill="1" applyBorder="1" applyAlignment="1">
      <x:alignment horizontal="general" vertical="bottom" wrapText="0"/>
    </x:xf>
    <x:xf numFmtId="204" fontId="16" fillId="7" borderId="0" xfId="0" applyNumberFormat="1" applyFont="1" applyFill="1" applyBorder="1" applyAlignment="1">
      <x:alignment horizontal="general" vertical="bottom" wrapText="0"/>
    </x:xf>
    <x:xf numFmtId="204" fontId="16" fillId="9" borderId="0" xfId="0" applyNumberFormat="1" applyFont="1" applyFill="1" applyBorder="1" applyAlignment="1">
      <x:alignment horizontal="general" vertical="bottom" wrapText="0"/>
    </x:xf>
    <x:xf numFmtId="205" fontId="7" fillId="7" borderId="0" xfId="0" applyNumberFormat="1" applyFont="1" applyFill="1" applyBorder="1" applyAlignment="1">
      <x:alignment horizontal="general" vertical="bottom" wrapText="0"/>
    </x:xf>
    <x:xf numFmtId="164" fontId="14" fillId="7" borderId="0" xfId="0" applyNumberFormat="1" applyFont="1" applyFill="1" applyBorder="1" applyAlignment="1">
      <x:alignment horizontal="general" vertical="bottom" wrapText="0"/>
    </x:xf>
    <x:xf numFmtId="202" fontId="14" fillId="7" borderId="0" xfId="0" applyNumberFormat="1" applyFont="1" applyFill="1" applyBorder="1" applyAlignment="1">
      <x:alignment horizontal="general" vertical="bottom" wrapText="0"/>
    </x:xf>
    <x:xf numFmtId="164" fontId="7" fillId="7" borderId="0" xfId="0" applyNumberFormat="1" applyFont="1" applyFill="1" applyBorder="1" applyAlignment="1">
      <x:alignment horizontal="left" vertical="top" wrapText="1"/>
    </x:xf>
    <x:xf numFmtId="164" fontId="15" fillId="7" borderId="0" xfId="0" applyNumberFormat="1" applyFont="1" applyFill="1" applyBorder="1" applyAlignment="1">
      <x:alignment horizontal="general" vertical="bottom" wrapText="0"/>
    </x:xf>
    <x:xf numFmtId="164" fontId="24" fillId="7" borderId="0" xfId="0" applyNumberFormat="1" applyFont="1" applyFill="1" applyBorder="1" applyAlignment="1">
      <x:alignment horizontal="general" vertical="bottom" wrapText="0"/>
    </x:xf>
    <x:xf numFmtId="164" fontId="22" fillId="7" borderId="0" xfId="0" applyNumberFormat="1" applyFont="1" applyFill="1" applyBorder="1" applyAlignment="1">
      <x:alignment horizontal="general" vertical="bottom" wrapText="0"/>
    </x:xf>
    <x:xf numFmtId="166" fontId="22" fillId="7" borderId="0" xfId="0" applyNumberFormat="1" applyFont="1" applyFill="1" applyBorder="1" applyAlignment="1">
      <x:alignment horizontal="right" vertical="center" wrapText="0"/>
    </x:xf>
    <x:xf numFmtId="164" fontId="25" fillId="7" borderId="0" xfId="0" applyNumberFormat="1" applyFont="1" applyFill="1" applyBorder="1" applyAlignment="1">
      <x:alignment horizontal="general" vertical="bottom" wrapText="0"/>
    </x:xf>
    <x:xf numFmtId="166" fontId="25" fillId="7" borderId="0" xfId="0" applyNumberFormat="1" applyFont="1" applyFill="1" applyBorder="1" applyAlignment="1">
      <x:alignment horizontal="right" vertical="center" wrapText="0"/>
    </x:xf>
    <x:xf numFmtId="164" fontId="5" fillId="7" borderId="0" xfId="0" applyNumberFormat="1" applyFont="1" applyFill="1" applyBorder="1" applyAlignment="1">
      <x:alignment horizontal="left" vertical="top" wrapText="1"/>
    </x:xf>
    <x:xf numFmtId="164" fontId="33" fillId="7" borderId="0" xfId="0" applyNumberFormat="1" applyFont="1" applyFill="1" applyBorder="1" applyAlignment="1">
      <x:alignment horizontal="left" vertical="top" wrapText="1"/>
    </x:xf>
    <x:xf numFmtId="164" fontId="7" fillId="10" borderId="0" xfId="0" applyNumberFormat="1" applyFont="1" applyFill="1" applyBorder="1" applyAlignment="1">
      <x:alignment horizontal="left" vertical="top" wrapText="1"/>
    </x:xf>
    <x:xf numFmtId="164" fontId="8" fillId="10" borderId="0" xfId="0" applyNumberFormat="1" applyFont="1" applyFill="1" applyBorder="1" applyAlignment="1">
      <x:alignment horizontal="left" vertical="top" wrapText="1"/>
    </x:xf>
    <x:xf numFmtId="164" fontId="14" fillId="7" borderId="0" xfId="0" applyNumberFormat="1" applyFont="1" applyFill="1" applyBorder="1" applyAlignment="1">
      <x:alignment horizontal="left" vertical="top" wrapText="1"/>
    </x:xf>
    <x:xf numFmtId="202" fontId="14" fillId="7" borderId="0" xfId="0" applyNumberFormat="1" applyFont="1" applyFill="1" applyBorder="1" applyAlignment="1">
      <x:alignment horizontal="left" vertical="top" wrapText="1"/>
    </x:xf>
    <x:xf numFmtId="164" fontId="11" fillId="7" borderId="0" xfId="0" applyNumberFormat="1" applyFont="1" applyFill="1" applyBorder="1" applyAlignment="1">
      <x:alignment horizontal="general" vertical="bottom" wrapText="0"/>
    </x:xf>
    <x:xf numFmtId="202" fontId="11" fillId="7" borderId="0" xfId="0" applyNumberFormat="1" applyFont="1" applyFill="1" applyBorder="1" applyAlignment="1">
      <x:alignment horizontal="general" vertical="bottom" wrapText="0"/>
    </x:xf>
    <x:xf numFmtId="202" fontId="8" fillId="7" borderId="0" xfId="0" applyNumberFormat="1" applyFont="1" applyFill="1" applyBorder="1" applyAlignment="1">
      <x:alignment horizontal="general" vertical="bottom" wrapText="0"/>
    </x:xf>
    <x:xf numFmtId="164" fontId="8" fillId="7" borderId="1" xfId="0" applyNumberFormat="1" applyFont="1" applyFill="1" applyBorder="1" applyAlignment="1">
      <x:alignment horizontal="general" vertical="bottom" wrapText="0"/>
    </x:xf>
    <x:xf numFmtId="202" fontId="8" fillId="7" borderId="1" xfId="0" applyNumberFormat="1" applyFont="1" applyFill="1" applyBorder="1" applyAlignment="1">
      <x:alignment horizontal="general" vertical="bottom" wrapText="0"/>
    </x:xf>
    <x:xf numFmtId="166" fontId="14" fillId="7" borderId="0" xfId="0" applyNumberFormat="1" applyFont="1" applyFill="1" applyBorder="1" applyAlignment="1">
      <x:alignment horizontal="right" vertical="center" wrapText="0"/>
    </x:xf>
    <x:xf numFmtId="202" fontId="14" fillId="7" borderId="0" xfId="0" applyNumberFormat="1" applyFont="1" applyFill="1" applyBorder="1" applyAlignment="1">
      <x:alignment horizontal="right" vertical="center" wrapText="0"/>
    </x:xf>
    <x:xf numFmtId="202" fontId="8" fillId="7" borderId="1" xfId="0" applyNumberFormat="1" applyFont="1" applyFill="1" applyBorder="1" applyAlignment="1">
      <x:alignment horizontal="right" vertical="center" wrapText="0"/>
    </x:xf>
    <x:xf numFmtId="164" fontId="21" fillId="7" borderId="0" xfId="0" applyNumberFormat="1" applyFont="1" applyFill="1" applyBorder="1" applyAlignment="1">
      <x:alignment horizontal="right" vertical="center" wrapText="0"/>
    </x:xf>
    <x:xf numFmtId="164" fontId="10" fillId="7" borderId="0" xfId="0" applyNumberFormat="1" applyFont="1" applyFill="1" applyBorder="1" applyAlignment="1">
      <x:alignment horizontal="general" vertical="bottom" wrapText="0"/>
    </x:xf>
    <x:xf numFmtId="166" fontId="10" fillId="7" borderId="0" xfId="0" applyNumberFormat="1" applyFont="1" applyFill="1" applyBorder="1" applyAlignment="1">
      <x:alignment horizontal="right" vertical="center" wrapText="0"/>
    </x:xf>
    <x:xf numFmtId="164" fontId="26" fillId="7" borderId="0" xfId="0" applyNumberFormat="1" applyFont="1" applyFill="1" applyBorder="1" applyAlignment="1">
      <x:alignment horizontal="general" vertical="bottom" wrapText="0"/>
    </x:xf>
    <x:xf numFmtId="168" fontId="26" fillId="7" borderId="0" xfId="0" applyNumberFormat="1" applyFont="1" applyFill="1" applyBorder="1" applyAlignment="1">
      <x:alignment horizontal="right" vertical="center" wrapText="0"/>
    </x:xf>
    <x:xf numFmtId="164" fontId="12" fillId="7" borderId="0" xfId="0" applyNumberFormat="1" applyFont="1" applyFill="1" applyBorder="1" applyAlignment="1">
      <x:alignment horizontal="general" vertical="bottom" wrapText="0"/>
    </x:xf>
    <x:xf numFmtId="166" fontId="12" fillId="7" borderId="0" xfId="0" applyNumberFormat="1" applyFont="1" applyFill="1" applyBorder="1" applyAlignment="1">
      <x:alignment horizontal="right" vertical="center" wrapText="0"/>
    </x:xf>
    <x:xf numFmtId="165" fontId="25" fillId="7" borderId="0" xfId="0" applyNumberFormat="1" applyFont="1" applyFill="1" applyBorder="1" applyAlignment="1">
      <x:alignment horizontal="right" vertical="center" wrapText="0"/>
    </x:xf>
    <x:xf numFmtId="166" fontId="11" fillId="7" borderId="0" xfId="0" applyNumberFormat="1" applyFont="1" applyFill="1" applyBorder="1" applyAlignment="1">
      <x:alignment horizontal="right" vertical="center" wrapText="0"/>
    </x:xf>
    <x:xf numFmtId="164" fontId="33" fillId="7" borderId="0" xfId="0" applyNumberFormat="1" applyFont="1" applyFill="1" applyBorder="1" applyAlignment="1">
      <x:alignment horizontal="right" vertical="center" wrapText="0"/>
    </x:xf>
    <x:xf numFmtId="168" fontId="33" fillId="7" borderId="0" xfId="0" applyNumberFormat="1" applyFont="1" applyFill="1" applyBorder="1" applyAlignment="1">
      <x:alignment horizontal="right" vertical="center" wrapText="0"/>
    </x:xf>
    <x:xf numFmtId="165" fontId="7" fillId="7" borderId="0" xfId="0" applyNumberFormat="1" applyFont="1" applyFill="1" applyBorder="1" applyAlignment="1">
      <x:alignment horizontal="right" vertical="center" wrapText="0"/>
    </x:xf>
    <x:xf numFmtId="170" fontId="7" fillId="7" borderId="0" xfId="0" applyNumberFormat="1" applyFont="1" applyFill="1" applyBorder="1" applyAlignment="1">
      <x:alignment horizontal="general" vertical="bottom" wrapText="0"/>
    </x:xf>
    <x:xf numFmtId="164" fontId="11" fillId="7" borderId="0" xfId="0" applyNumberFormat="1" applyFont="1" applyFill="1" applyBorder="1" applyAlignment="1">
      <x:alignment horizontal="right" vertical="center" wrapText="0"/>
    </x:xf>
    <x:xf numFmtId="201" fontId="11" fillId="7" borderId="0" xfId="0" applyNumberFormat="1" applyFont="1" applyFill="1" applyBorder="1" applyAlignment="1">
      <x:alignment horizontal="right" vertical="center" wrapText="0"/>
    </x:xf>
    <x:xf numFmtId="202" fontId="11" fillId="7" borderId="0" xfId="0" applyNumberFormat="1" applyFont="1" applyFill="1" applyBorder="1" applyAlignment="1">
      <x:alignment horizontal="right" vertical="center" wrapText="0"/>
    </x:xf>
    <x:xf numFmtId="165" fontId="14" fillId="7" borderId="0" xfId="0" applyNumberFormat="1" applyFont="1" applyFill="1" applyBorder="1" applyAlignment="1">
      <x:alignment horizontal="right" vertical="center" wrapText="0"/>
    </x:xf>
    <x:xf numFmtId="204" fontId="14" fillId="7" borderId="0" xfId="0" applyNumberFormat="1" applyFont="1" applyFill="1" applyBorder="1" applyAlignment="1">
      <x:alignment horizontal="right" vertical="center" wrapText="0"/>
    </x:xf>
    <x:xf numFmtId="202" fontId="11" fillId="7" borderId="1" xfId="0" applyNumberFormat="1" applyFont="1" applyFill="1" applyBorder="1" applyAlignment="1">
      <x:alignment horizontal="right" vertical="center" wrapText="0"/>
    </x:xf>
    <x:xf numFmtId="166" fontId="8" fillId="7" borderId="0" xfId="0" applyNumberFormat="1" applyFont="1" applyFill="1" applyBorder="1" applyAlignment="1">
      <x:alignment horizontal="right" vertical="center" wrapText="1"/>
    </x:xf>
    <x:xf numFmtId="164" fontId="8" fillId="7" borderId="0" xfId="0" applyNumberFormat="1" applyFont="1" applyFill="1" applyBorder="1" applyAlignment="1">
      <x:alignment horizontal="general" vertical="top" wrapText="1"/>
    </x:xf>
    <x:xf numFmtId="166" fontId="8" fillId="7" borderId="0" xfId="0" applyNumberFormat="1" applyFont="1" applyFill="1" applyBorder="1" applyAlignment="1">
      <x:alignment horizontal="right" vertical="top" wrapText="1"/>
    </x:xf>
    <x:xf numFmtId="168" fontId="14" fillId="7" borderId="0" xfId="0" applyNumberFormat="1" applyFont="1" applyFill="1" applyBorder="1" applyAlignment="1">
      <x:alignment horizontal="right" vertical="center" wrapText="0"/>
    </x:xf>
    <x:xf numFmtId="170" fontId="14" fillId="7" borderId="0" xfId="0" applyNumberFormat="1" applyFont="1" applyFill="1" applyBorder="1" applyAlignment="1">
      <x:alignment horizontal="right" vertical="center" wrapText="0"/>
    </x:xf>
    <x:xf numFmtId="168" fontId="10" fillId="7" borderId="0" xfId="0" applyNumberFormat="1" applyFont="1" applyFill="1" applyBorder="1" applyAlignment="1">
      <x:alignment horizontal="right" vertical="center" wrapText="0"/>
    </x:xf>
    <x:xf numFmtId="168" fontId="22" fillId="7" borderId="0" xfId="0" applyNumberFormat="1" applyFont="1" applyFill="1" applyBorder="1" applyAlignment="1">
      <x:alignment horizontal="right" vertical="center" wrapText="0"/>
    </x:xf>
    <x:xf numFmtId="172" fontId="7" fillId="7" borderId="0" xfId="0" applyNumberFormat="1" applyFont="1" applyFill="1" applyBorder="1" applyAlignment="1">
      <x:alignment horizontal="right" vertical="center" wrapText="0"/>
    </x:xf>
    <x:xf numFmtId="164" fontId="20" fillId="7" borderId="0" xfId="0" applyNumberFormat="1" applyFont="1" applyFill="1" applyBorder="1" applyAlignment="1">
      <x:alignment horizontal="general" vertical="bottom" wrapText="0"/>
    </x:xf>
    <x:xf numFmtId="171" fontId="22" fillId="7" borderId="0" xfId="0" applyNumberFormat="1" applyFont="1" applyFill="1" applyBorder="1" applyAlignment="1">
      <x:alignment horizontal="right" vertical="center" wrapText="0"/>
    </x:xf>
    <x:xf numFmtId="171" fontId="14" fillId="7" borderId="0" xfId="0" applyNumberFormat="1" applyFont="1" applyFill="1" applyBorder="1" applyAlignment="1">
      <x:alignment horizontal="right" vertical="center" wrapText="0"/>
    </x:xf>
    <x:xf numFmtId="165" fontId="10" fillId="7" borderId="0" xfId="0" applyNumberFormat="1" applyFont="1" applyFill="1" applyBorder="1" applyAlignment="1">
      <x:alignment horizontal="right" vertical="center" wrapText="0"/>
    </x:xf>
    <x:xf numFmtId="165" fontId="16" fillId="7" borderId="0" xfId="0" applyNumberFormat="1" applyFont="1" applyFill="1" applyBorder="1" applyAlignment="1">
      <x:alignment horizontal="right" vertical="center" wrapText="0"/>
    </x:xf>
    <x:xf numFmtId="164" fontId="23" fillId="7" borderId="0" xfId="0" applyNumberFormat="1" applyFont="1" applyFill="1" applyBorder="1" applyAlignment="1">
      <x:alignment horizontal="general" vertical="bottom" wrapText="0"/>
    </x:xf>
    <x:xf numFmtId="165" fontId="8" fillId="7" borderId="0" xfId="0" applyNumberFormat="1" applyFont="1" applyFill="1" applyBorder="1" applyAlignment="1">
      <x:alignment horizontal="right" vertical="center" wrapText="0"/>
    </x:xf>
    <x:xf numFmtId="201" fontId="14" fillId="7" borderId="0" xfId="0" applyNumberFormat="1" applyFont="1" applyFill="1" applyBorder="1" applyAlignment="1">
      <x:alignment horizontal="right" vertical="center" wrapText="0"/>
    </x:xf>
    <x:xf numFmtId="168" fontId="11" fillId="7" borderId="0" xfId="0" applyNumberFormat="1" applyFont="1" applyFill="1" applyBorder="1" applyAlignment="1">
      <x:alignment horizontal="right" vertical="center" wrapText="0"/>
    </x:xf>
    <x:xf numFmtId="205" fontId="7" fillId="7" borderId="0" xfId="0" applyNumberFormat="1" applyFont="1" applyFill="1" applyBorder="1" applyAlignment="1">
      <x:alignment horizontal="right" vertical="center" wrapText="0"/>
    </x:xf>
    <x:xf numFmtId="170" fontId="11" fillId="7" borderId="0" xfId="0" applyNumberFormat="1" applyFont="1" applyFill="1" applyBorder="1" applyAlignment="1">
      <x:alignment horizontal="right" vertical="center" wrapText="0"/>
    </x:xf>
    <x:xf numFmtId="170" fontId="8" fillId="7" borderId="0" xfId="0" applyNumberFormat="1" applyFont="1" applyFill="1" applyBorder="1" applyAlignment="1">
      <x:alignment horizontal="right" vertical="center" wrapText="0"/>
    </x:xf>
    <x:xf numFmtId="172" fontId="14" fillId="7" borderId="0" xfId="0" applyNumberFormat="1" applyFont="1" applyFill="1" applyBorder="1" applyAlignment="1">
      <x:alignment horizontal="general" vertical="bottom" wrapText="0"/>
    </x:xf>
    <x:xf numFmtId="170" fontId="14" fillId="7" borderId="0" xfId="0" applyNumberFormat="1" applyFont="1" applyFill="1" applyBorder="1" applyAlignment="1">
      <x:alignment horizontal="general" vertical="bottom" wrapText="0"/>
    </x:xf>
    <x:xf numFmtId="172" fontId="7" fillId="7" borderId="0" xfId="0" applyNumberFormat="1" applyFont="1" applyFill="1" applyBorder="1" applyAlignment="1">
      <x:alignment horizontal="general" vertical="bottom" wrapText="0"/>
    </x:xf>
    <x:xf numFmtId="203" fontId="14" fillId="7" borderId="0" xfId="0" applyNumberFormat="1" applyFont="1" applyFill="1" applyBorder="1" applyAlignment="1">
      <x:alignment horizontal="general" vertical="bottom" wrapText="0"/>
    </x:xf>
    <x:xf numFmtId="169" fontId="14" fillId="7" borderId="0" xfId="0" applyNumberFormat="1" applyFont="1" applyFill="1" applyBorder="1" applyAlignment="1">
      <x:alignment horizontal="right" vertical="center" wrapText="0"/>
    </x:xf>
    <x:xf numFmtId="204" fontId="11" fillId="7" borderId="0" xfId="0" applyNumberFormat="1" applyFont="1" applyFill="1" applyBorder="1" applyAlignment="1">
      <x:alignment horizontal="right" vertical="center" wrapText="0"/>
    </x:xf>
    <x:xf numFmtId="172" fontId="8" fillId="7" borderId="0" xfId="0" applyNumberFormat="1" applyFont="1" applyFill="1" applyBorder="1" applyAlignment="1">
      <x:alignment horizontal="right" vertical="center" wrapText="0"/>
    </x:xf>
    <x:xf numFmtId="172" fontId="8" fillId="7" borderId="1" xfId="0" applyNumberFormat="1" applyFont="1" applyFill="1" applyBorder="1" applyAlignment="1">
      <x:alignment horizontal="right" vertical="center" wrapText="0"/>
    </x:xf>
    <x:xf numFmtId="166" fontId="8" fillId="7" borderId="1" xfId="0" applyNumberFormat="1" applyFont="1" applyFill="1" applyBorder="1" applyAlignment="1">
      <x:alignment horizontal="right" vertical="center" wrapText="0"/>
    </x:xf>
    <x:xf numFmtId="204" fontId="11" fillId="7" borderId="1" xfId="0" applyNumberFormat="1" applyFont="1" applyFill="1" applyBorder="1" applyAlignment="1">
      <x:alignment horizontal="right" vertical="center" wrapText="0"/>
    </x:xf>
    <x:xf numFmtId="171" fontId="8" fillId="7" borderId="0" xfId="0" applyNumberFormat="1" applyFont="1" applyFill="1" applyBorder="1" applyAlignment="1">
      <x:alignment horizontal="right" vertical="center" wrapText="0"/>
    </x:xf>
    <x:xf numFmtId="171" fontId="20" fillId="7" borderId="0" xfId="0" applyNumberFormat="1" applyFont="1" applyFill="1" applyBorder="1" applyAlignment="1">
      <x:alignment horizontal="right" vertical="center" wrapText="0"/>
    </x:xf>
    <x:xf numFmtId="203" fontId="8" fillId="7" borderId="0" xfId="0" applyNumberFormat="1" applyFont="1" applyFill="1" applyBorder="1" applyAlignment="1">
      <x:alignment horizontal="right" vertical="center" wrapText="0"/>
    </x:xf>
    <x:xf numFmtId="203" fontId="14" fillId="7" borderId="0" xfId="0" applyNumberFormat="1" applyFont="1" applyFill="1" applyBorder="1" applyAlignment="1">
      <x:alignment horizontal="right" vertical="center" wrapText="0"/>
    </x:xf>
    <x:xf numFmtId="165" fontId="22" fillId="7" borderId="0" xfId="0" applyNumberFormat="1" applyFont="1" applyFill="1" applyBorder="1" applyAlignment="1">
      <x:alignment horizontal="right" vertical="center" wrapText="0"/>
    </x:xf>
    <x:xf numFmtId="166" fontId="28" fillId="7" borderId="0" xfId="0" applyNumberFormat="1" applyFont="1" applyFill="1" applyBorder="1" applyAlignment="1">
      <x:alignment horizontal="right" vertical="center" wrapText="0"/>
    </x:xf>
    <x:xf numFmtId="171" fontId="28" fillId="7" borderId="0" xfId="0" applyNumberFormat="1" applyFont="1" applyFill="1" applyBorder="1" applyAlignment="1">
      <x:alignment horizontal="right" vertical="center" wrapText="0"/>
    </x:xf>
    <x:xf numFmtId="173" fontId="28" fillId="7" borderId="0" xfId="0" applyNumberFormat="1" applyFont="1" applyFill="1" applyBorder="1" applyAlignment="1">
      <x:alignment horizontal="right" vertical="center" wrapText="0"/>
    </x:xf>
    <x:xf numFmtId="168" fontId="28" fillId="7" borderId="0" xfId="0" applyNumberFormat="1" applyFont="1" applyFill="1" applyBorder="1" applyAlignment="1">
      <x:alignment horizontal="right" vertical="center" wrapText="0"/>
    </x:xf>
    <x:xf numFmtId="165" fontId="28" fillId="7" borderId="0" xfId="0" applyNumberFormat="1" applyFont="1" applyFill="1" applyBorder="1" applyAlignment="1">
      <x:alignment horizontal="right" vertical="center" wrapText="0"/>
    </x:xf>
    <x:xf numFmtId="173" fontId="8" fillId="7" borderId="0" xfId="0" applyNumberFormat="1" applyFont="1" applyFill="1" applyBorder="1" applyAlignment="1">
      <x:alignment horizontal="right" vertical="center" wrapText="0"/>
    </x:xf>
    <x:xf numFmtId="200" fontId="11" fillId="7" borderId="0" xfId="0" applyNumberFormat="1" applyFont="1" applyFill="1" applyBorder="1" applyAlignment="1">
      <x:alignment horizontal="right" vertical="center" wrapText="0"/>
    </x:xf>
    <x:xf numFmtId="202" fontId="33" fillId="7" borderId="0" xfId="0" applyNumberFormat="1" applyFont="1" applyFill="1" applyBorder="1" applyAlignment="1">
      <x:alignment horizontal="general" vertical="bottom" wrapText="0"/>
    </x:xf>
    <x:xf numFmtId="173" fontId="11" fillId="7" borderId="0" xfId="0" applyNumberFormat="1" applyFont="1" applyFill="1" applyBorder="1" applyAlignment="1">
      <x:alignment horizontal="right" vertical="center" wrapText="0"/>
    </x:xf>
    <x:xf numFmtId="203" fontId="11" fillId="7" borderId="0" xfId="0" applyNumberFormat="1" applyFont="1" applyFill="1" applyBorder="1" applyAlignment="1">
      <x:alignment horizontal="right" vertical="center" wrapText="0"/>
    </x:xf>
    <x:xf numFmtId="165" fontId="11" fillId="7" borderId="0" xfId="0" applyNumberFormat="1" applyFont="1" applyFill="1" applyBorder="1" applyAlignment="1">
      <x:alignment horizontal="right" vertical="center" wrapText="0"/>
    </x:xf>
    <x:xf numFmtId="204" fontId="14" fillId="7" borderId="0" xfId="0" applyNumberFormat="1" applyFont="1" applyFill="1" applyBorder="1" applyAlignment="1">
      <x:alignment horizontal="general" vertical="bottom" wrapText="0"/>
    </x:xf>
    <x:xf numFmtId="200" fontId="7" fillId="7" borderId="0" xfId="0" applyNumberFormat="1" applyFont="1" applyFill="1" applyBorder="1" applyAlignment="1">
      <x:alignment horizontal="general" vertical="bottom" wrapText="0"/>
    </x:xf>
    <x:xf numFmtId="202" fontId="34" fillId="7" borderId="0" xfId="0" applyNumberFormat="1" applyFont="1" applyFill="1" applyBorder="1" applyAlignment="1">
      <x:alignment horizontal="general" vertical="bottom" wrapText="0"/>
    </x:xf>
    <x:xf numFmtId="202" fontId="34" fillId="7" borderId="1" xfId="0" applyNumberFormat="1" applyFont="1" applyFill="1" applyBorder="1" applyAlignment="1">
      <x:alignment horizontal="general" vertical="bottom" wrapText="0"/>
    </x:xf>
    <x:xf numFmtId="201" fontId="8" fillId="7" borderId="1" xfId="0" applyNumberFormat="1" applyFont="1" applyFill="1" applyBorder="1" applyAlignment="1">
      <x:alignment horizontal="right" vertical="center" wrapText="0"/>
    </x:xf>
    <x:xf numFmtId="204" fontId="11" fillId="7" borderId="0" xfId="0" applyNumberFormat="1" applyFont="1" applyFill="1" applyBorder="1" applyAlignment="1">
      <x:alignment horizontal="general" vertical="bottom" wrapText="0"/>
    </x:xf>
    <x:xf numFmtId="204" fontId="11" fillId="7" borderId="1" xfId="0" applyNumberFormat="1" applyFont="1" applyFill="1" applyBorder="1" applyAlignment="1">
      <x:alignment horizontal="general" vertical="bottom" wrapText="0"/>
    </x:xf>
    <x:xf numFmtId="166" fontId="8" fillId="3" borderId="0" xfId="0" applyNumberFormat="1" applyFont="1" applyFill="1" applyBorder="1" applyAlignment="1">
      <x:alignment horizontal="right" vertical="center" wrapText="0"/>
    </x:xf>
    <x:xf numFmtId="202" fontId="8" fillId="3" borderId="0" xfId="0" applyNumberFormat="1" applyFont="1" applyFill="1" applyBorder="1" applyAlignment="1">
      <x:alignment horizontal="right" vertical="center" wrapText="0"/>
    </x:xf>
    <x:xf numFmtId="164" fontId="32" fillId="3" borderId="0" xfId="0" applyNumberFormat="1" applyFont="1" applyFill="1" applyBorder="1" applyAlignment="1">
      <x:alignment horizontal="general" vertical="bottom" wrapText="0"/>
    </x:xf>
    <x:xf numFmtId="164" fontId="21" fillId="3" borderId="0" xfId="0" applyNumberFormat="1" applyFont="1" applyFill="1" applyBorder="1" applyAlignment="1">
      <x:alignment horizontal="general" vertical="bottom" wrapText="0"/>
    </x:xf>
    <x:xf numFmtId="164" fontId="21" fillId="3" borderId="0" xfId="0" applyNumberFormat="1" applyFont="1" applyFill="1" applyBorder="1" applyAlignment="1">
      <x:alignment horizontal="general" vertical="bottom" wrapText="1"/>
    </x:xf>
    <x:xf numFmtId="164" fontId="0" fillId="3" borderId="0" xfId="0" applyNumberFormat="1" applyFont="1" applyFill="1" applyBorder="1" applyAlignment="1">
      <x:alignment horizontal="general" vertical="bottom" wrapText="1"/>
    </x:xf>
    <x:xf numFmtId="164" fontId="21" fillId="3" borderId="0" xfId="0" applyNumberFormat="1" applyFont="1" applyFill="1" applyBorder="1" applyAlignment="1">
      <x:alignment horizontal="general" vertical="top" wrapText="1"/>
    </x:xf>
    <x:xf numFmtId="164" fontId="0" fillId="3" borderId="0" xfId="0" applyNumberFormat="1" applyFont="1" applyFill="1" applyBorder="1" applyAlignment="1">
      <x:alignment horizontal="general" vertical="top" wrapText="1"/>
    </x:xf>
    <x:xf numFmtId="164" fontId="35" fillId="3" borderId="0" xfId="0" applyNumberFormat="1" applyFont="1" applyFill="1" applyBorder="1" applyAlignment="1">
      <x:alignment horizontal="general" vertical="bottom" wrapText="0"/>
    </x:xf>
    <x:xf numFmtId="202" fontId="35" fillId="3" borderId="0" xfId="0" applyNumberFormat="1" applyFont="1" applyFill="1" applyBorder="1" applyAlignment="1">
      <x:alignment horizontal="general" vertical="bottom" wrapText="0"/>
    </x:xf>
    <x:xf numFmtId="164" fontId="21" fillId="7" borderId="0" xfId="0" applyNumberFormat="1" applyFont="1" applyFill="1" applyBorder="1" applyAlignment="1">
      <x:alignment horizontal="left" vertical="top" wrapText="1"/>
    </x:xf>
    <x:xf numFmtId="164" fontId="8" fillId="10" borderId="0" xfId="0" applyNumberFormat="1" applyFont="1" applyFill="1" applyBorder="1" applyAlignment="1">
      <x:alignment horizontal="left" vertical="center" wrapText="0"/>
    </x:xf>
    <x:xf numFmtId="164" fontId="8" fillId="10" borderId="0" xfId="0" applyNumberFormat="1" applyFont="1" applyFill="1" applyBorder="1" applyAlignment="1">
      <x:alignment horizontal="right" vertical="center" wrapText="0"/>
    </x:xf>
    <x:xf numFmtId="202" fontId="36" fillId="7" borderId="0" xfId="0" applyNumberFormat="1" applyFont="1" applyFill="1" applyBorder="1" applyAlignment="1">
      <x:alignment horizontal="general" vertical="bottom" wrapText="0"/>
    </x:xf>
    <x:xf numFmtId="202" fontId="36" fillId="9" borderId="0" xfId="0" applyNumberFormat="1" applyFont="1" applyFill="1" applyBorder="1" applyAlignment="1">
      <x:alignment horizontal="general" vertical="bottom" wrapText="0"/>
    </x:xf>
    <x:xf numFmtId="202" fontId="33" fillId="7" borderId="0" xfId="0" applyNumberFormat="1" applyFont="1" applyFill="1" applyBorder="1" applyAlignment="1">
      <x:alignment horizontal="left" vertical="top" wrapText="1"/>
    </x:xf>
    <x:xf numFmtId="202" fontId="36" fillId="7" borderId="0" xfId="0" applyNumberFormat="1" applyFont="1" applyFill="1" applyBorder="1" applyAlignment="1">
      <x:alignment horizontal="left" vertical="top" wrapText="1"/>
    </x:xf>
    <x:xf numFmtId="202" fontId="36" fillId="9" borderId="0" xfId="0" applyNumberFormat="1" applyFont="1" applyFill="1" applyBorder="1" applyAlignment="1">
      <x:alignment horizontal="left" vertical="top" wrapText="1"/>
    </x:xf>
    <x:xf numFmtId="203" fontId="33" fillId="7" borderId="0" xfId="0" applyNumberFormat="1" applyFont="1" applyFill="1" applyBorder="1" applyAlignment="1">
      <x:alignment horizontal="left" vertical="top" wrapText="1"/>
    </x:xf>
    <x:xf numFmtId="164" fontId="25" fillId="7" borderId="0" xfId="0" applyNumberFormat="1" applyFont="1" applyFill="1" applyBorder="1" applyAlignment="1">
      <x:alignment horizontal="left" vertical="top" wrapText="1"/>
    </x:xf>
    <x:xf numFmtId="202" fontId="7" fillId="7" borderId="0" xfId="0" applyNumberFormat="1" applyFont="1" applyFill="1" applyBorder="1" applyAlignment="1">
      <x:alignment horizontal="left" vertical="top" wrapText="1"/>
    </x:xf>
    <x:xf numFmtId="202" fontId="16" fillId="7" borderId="0" xfId="0" applyNumberFormat="1" applyFont="1" applyFill="1" applyBorder="1" applyAlignment="1">
      <x:alignment horizontal="left" vertical="top" wrapText="1"/>
    </x:xf>
    <x:xf numFmtId="202" fontId="16" fillId="9" borderId="0" xfId="0" applyNumberFormat="1" applyFont="1" applyFill="1" applyBorder="1" applyAlignment="1">
      <x:alignment horizontal="left" vertical="top" wrapText="1"/>
    </x:xf>
    <x:xf numFmtId="203" fontId="7" fillId="7" borderId="0" xfId="0" applyNumberFormat="1" applyFont="1" applyFill="1" applyBorder="1" applyAlignment="1">
      <x:alignment horizontal="left" vertical="top" wrapText="1"/>
    </x:xf>
    <x:xf numFmtId="203" fontId="16" fillId="7" borderId="0" xfId="0" applyNumberFormat="1" applyFont="1" applyFill="1" applyBorder="1" applyAlignment="1">
      <x:alignment horizontal="left" vertical="top" wrapText="1"/>
    </x:xf>
    <x:xf numFmtId="203" fontId="16" fillId="9" borderId="0" xfId="0" applyNumberFormat="1" applyFont="1" applyFill="1" applyBorder="1" applyAlignment="1">
      <x:alignment horizontal="left" vertical="top" wrapText="1"/>
    </x:xf>
    <x:xf numFmtId="168" fontId="9" fillId="7" borderId="0" xfId="0" applyNumberFormat="1" applyFont="1" applyFill="1" applyBorder="1" applyAlignment="1">
      <x:alignment horizontal="right" vertical="center" wrapText="0"/>
    </x:xf>
    <x:xf numFmtId="171" fontId="9" fillId="7" borderId="0" xfId="0" applyNumberFormat="1" applyFont="1" applyFill="1" applyBorder="1" applyAlignment="1">
      <x:alignment horizontal="right" vertical="center" wrapText="0"/>
    </x:xf>
    <x:xf numFmtId="164" fontId="29" fillId="7" borderId="0" xfId="0" applyNumberFormat="1" applyFont="1" applyFill="1" applyBorder="1" applyAlignment="1">
      <x:alignment horizontal="general" vertical="bottom" wrapText="0"/>
    </x:xf>
    <x:xf numFmtId="201" fontId="9" fillId="7" borderId="0" xfId="0" applyNumberFormat="1" applyFont="1" applyFill="1" applyBorder="1" applyAlignment="1">
      <x:alignment horizontal="right" vertical="center" wrapText="0"/>
    </x:xf>
    <x:xf numFmtId="201" fontId="9" fillId="9" borderId="0" xfId="0" applyNumberFormat="1" applyFont="1" applyFill="1" applyBorder="1" applyAlignment="1">
      <x:alignment horizontal="right" vertical="center" wrapText="0"/>
    </x:xf>
    <x:xf numFmtId="164" fontId="31" fillId="7" borderId="0" xfId="0" applyNumberFormat="1" applyFont="1" applyFill="1" applyBorder="1" applyAlignment="1">
      <x:alignment horizontal="right" vertical="center" wrapText="0"/>
    </x:xf>
    <x:xf numFmtId="164" fontId="32" fillId="7" borderId="0" xfId="0" applyNumberFormat="1" applyFont="1" applyFill="1" applyBorder="1" applyAlignment="1">
      <x:alignment horizontal="general" vertical="bottom" wrapText="0"/>
    </x:xf>
    <x:xf numFmtId="201" fontId="14" fillId="7" borderId="0" xfId="0" applyNumberFormat="1" applyFont="1" applyFill="1" applyBorder="1" applyAlignment="1">
      <x:alignment horizontal="general" vertical="bottom" wrapText="0"/>
    </x:xf>
    <x:xf numFmtId="165" fontId="17" fillId="7" borderId="0" xfId="0" applyNumberFormat="1" applyFont="1" applyFill="1" applyBorder="1" applyAlignment="1">
      <x:alignment horizontal="right" vertical="center" wrapText="0"/>
    </x:xf>
    <x:xf numFmtId="164" fontId="15" fillId="7" borderId="0" xfId="0" applyNumberFormat="1" applyFont="1" applyFill="1" applyBorder="1" applyAlignment="1">
      <x:alignment horizontal="left" vertical="top" wrapText="1"/>
    </x:xf>
    <x:xf numFmtId="204" fontId="8" fillId="7" borderId="0" xfId="0" applyNumberFormat="1" applyFont="1" applyFill="1" applyBorder="1" applyAlignment="1">
      <x:alignment horizontal="general" vertical="bottom" wrapText="0"/>
    </x:xf>
    <x:xf numFmtId="200" fontId="14" fillId="7" borderId="0" xfId="0" applyNumberFormat="1" applyFont="1" applyFill="1" applyBorder="1" applyAlignment="1">
      <x:alignment horizontal="general" vertical="bottom" wrapText="0"/>
    </x:xf>
    <x:xf numFmtId="164" fontId="6" fillId="7" borderId="0" xfId="0" applyNumberFormat="1" applyFont="1" applyFill="1" applyBorder="1" applyAlignment="1">
      <x:alignment horizontal="general" vertical="bottom" wrapText="0"/>
    </x:xf>
    <x:xf numFmtId="164" fontId="9" fillId="7" borderId="0" xfId="0" applyNumberFormat="1" applyFont="1" applyFill="1" applyBorder="1" applyAlignment="1">
      <x:alignment horizontal="general" vertical="bottom" wrapText="0"/>
    </x:xf>
    <x:xf numFmtId="200" fontId="14" fillId="7" borderId="0" xfId="0" applyNumberFormat="1" applyFont="1" applyFill="1" applyBorder="1" applyAlignment="1">
      <x:alignment horizontal="left" vertical="top" wrapText="1"/>
    </x:xf>
    <x:xf numFmtId="164" fontId="30" fillId="7" borderId="0" xfId="0" applyNumberFormat="1" applyFont="1" applyFill="1" applyBorder="1" applyAlignment="1">
      <x:alignment horizontal="general" vertical="bottom" wrapText="0"/>
    </x:xf>
    <x:xf numFmtId="164" fontId="8" fillId="3" borderId="0" xfId="0" applyNumberFormat="1" applyFont="1" applyFill="1" applyBorder="1" applyAlignment="1">
      <x:alignment horizontal="general" vertical="bottom" wrapText="0"/>
    </x:xf>
    <x:xf numFmtId="164" fontId="34" fillId="7" borderId="0" xfId="0" applyNumberFormat="1" applyFont="1" applyFill="1" applyBorder="1" applyAlignment="1">
      <x:alignment horizontal="general" vertical="bottom" wrapText="0"/>
    </x:xf>
    <x:xf numFmtId="164" fontId="34" fillId="7" borderId="0" xfId="0" applyNumberFormat="1" applyFont="1" applyFill="1" applyBorder="1" applyAlignment="1">
      <x:alignment horizontal="general" vertical="bottom" wrapText="1"/>
    </x:xf>
    <x:xf numFmtId="164" fontId="8" fillId="7" borderId="0" xfId="0" applyNumberFormat="1" applyFont="1" applyFill="1" applyBorder="1" applyAlignment="1">
      <x:alignment horizontal="left" vertical="top" wrapText="1"/>
    </x:xf>
    <x:xf numFmtId="164" fontId="8" fillId="7" borderId="0" xfId="0" applyNumberFormat="1" applyFont="1" applyFill="1" applyBorder="1" applyAlignment="1">
      <x:alignment horizontal="left" vertical="center" wrapText="1"/>
    </x:xf>
    <x:xf numFmtId="164" fontId="8" fillId="7" borderId="0" xfId="0" applyNumberFormat="1" applyFont="1" applyFill="1" applyBorder="1" applyAlignment="1">
      <x:alignment horizontal="right" vertical="center" wrapText="1"/>
    </x:xf>
    <x:xf numFmtId="164" fontId="35" fillId="0" borderId="0" xfId="0" applyNumberFormat="1" applyFont="1" applyFill="1" applyBorder="1" applyAlignment="1">
      <x:alignment horizontal="general" vertical="bottom" wrapText="0"/>
    </x:xf>
    <x:xf numFmtId="164" fontId="35" fillId="0" borderId="0" xfId="0" applyNumberFormat="1" applyFont="1" applyFill="1" applyBorder="1" applyAlignment="1">
      <x:alignment horizontal="general" vertical="bottom" wrapText="1"/>
    </x:xf>
    <x:xf numFmtId="164" fontId="0" fillId="0" borderId="0" xfId="0" applyNumberFormat="1" applyFont="1" applyFill="1" applyBorder="1" applyAlignment="1">
      <x:alignment horizontal="general" vertical="bottom" wrapText="1"/>
    </x:xf>
    <x:xf numFmtId="164" fontId="35" fillId="0" borderId="0" xfId="0" applyNumberFormat="1" applyFont="1" applyFill="1" applyBorder="1" applyAlignment="1">
      <x:alignment horizontal="general" vertical="top" wrapText="1"/>
    </x:xf>
    <x:xf numFmtId="164" fontId="0" fillId="0" borderId="0" xfId="0" applyNumberFormat="1" applyFont="1" applyFill="1" applyBorder="1" applyAlignment="1">
      <x:alignment horizontal="general" vertical="top" wrapText="1"/>
    </x:xf>
    <x:xf numFmtId="167" fontId="8" fillId="9" borderId="0" xfId="0" applyNumberFormat="1" applyFont="1" applyFill="1" applyBorder="1" applyAlignment="1">
      <x:alignment horizontal="right" vertical="center" wrapText="0"/>
    </x:xf>
    <x:xf numFmtId="202" fontId="7" fillId="9" borderId="0" xfId="0" applyNumberFormat="1" applyFont="1" applyFill="1" applyBorder="1" applyAlignment="1">
      <x:alignment horizontal="right" vertical="center" wrapText="0"/>
    </x:xf>
    <x:xf numFmtId="201" fontId="7" fillId="9" borderId="0" xfId="0" applyNumberFormat="1" applyFont="1" applyFill="1" applyBorder="1" applyAlignment="1">
      <x:alignment horizontal="right" vertical="center" wrapText="0"/>
    </x:xf>
    <x:xf numFmtId="202" fontId="7" fillId="9" borderId="0" xfId="0" applyNumberFormat="1" applyFont="1" applyFill="1" applyBorder="1" applyAlignment="1">
      <x:alignment horizontal="general" vertical="bottom" wrapText="0"/>
    </x:xf>
  </x:cellXfs>
  <x:cellStyles count="6">
    <x:cellStyle name="Normal" xfId="0"/>
    <x:cellStyle name="Comma" xfId="15"/>
    <x:cellStyle name="Comma [0]" xfId="16"/>
    <x:cellStyle name="Currency" xfId="17"/>
    <x:cellStyle name="Currency [0]" xfId="18"/>
    <x:cellStyle name="Percent" xfId="19"/>
  </x:cellStyles>
  <x:dxfs count="2">
    <x:dxf>
      <x:font>
        <x:color rgb="FF9C0006"/>
      </x:font>
      <x:fill>
        <x:patternFill patternType="solid">
          <x:bgColor rgb="FFFCE4D6"/>
        </x:patternFill>
      </x:fill>
    </x:dxf>
    <x:dxf>
      <x:font>
        <x:color rgb="FF375623"/>
      </x:font>
      <x:fill>
        <x:patternFill patternType="solid">
          <x:bgColor rgb="FFE2EFDA"/>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B8860B"/>
      <x:rgbColor rgb="FF800080"/>
      <x:rgbColor rgb="FF008080"/>
      <x:rgbColor rgb="FFC0C0C0"/>
      <x:rgbColor rgb="FF878787"/>
      <x:rgbColor rgb="FF9999FF"/>
      <x:rgbColor rgb="FF993366"/>
      <x:rgbColor rgb="FFFDF7EE"/>
      <x:rgbColor rgb="FFCCFFFF"/>
      <x:rgbColor rgb="FF660066"/>
      <x:rgbColor rgb="FFFF8080"/>
      <x:rgbColor rgb="FF0066CC"/>
      <x:rgbColor rgb="FFD9D9D9"/>
      <x:rgbColor rgb="FF000080"/>
      <x:rgbColor rgb="FFFF00FF"/>
      <x:rgbColor rgb="FFFFFF00"/>
      <x:rgbColor rgb="FF00FFFF"/>
      <x:rgbColor rgb="FF800080"/>
      <x:rgbColor rgb="FF800000"/>
      <x:rgbColor rgb="FF008080"/>
      <x:rgbColor rgb="FF0000FF"/>
      <x:rgbColor rgb="FF00CCFF"/>
      <x:rgbColor rgb="FFCCFFFF"/>
      <x:rgbColor rgb="FFEFE6D2"/>
      <x:rgbColor rgb="FFFFF2A8"/>
      <x:rgbColor rgb="FF99CCFF"/>
      <x:rgbColor rgb="FFFF99CC"/>
      <x:rgbColor rgb="FFCC99FF"/>
      <x:rgbColor rgb="FFF3E6C4"/>
      <x:rgbColor rgb="FF3366FF"/>
      <x:rgbColor rgb="FF33CCCC"/>
      <x:rgbColor rgb="FF99CC00"/>
      <x:rgbColor rgb="FFFFCC00"/>
      <x:rgbColor rgb="FFFF9900"/>
      <x:rgbColor rgb="FFFF6600"/>
      <x:rgbColor rgb="FF666699"/>
      <x:rgbColor rgb="FF969696"/>
      <x:rgbColor rgb="FF003366"/>
      <x:rgbColor rgb="FF339966"/>
      <x:rgbColor rgb="FF003300"/>
      <x:rgbColor rgb="FF1A1A17"/>
      <x:rgbColor rgb="FF993300"/>
      <x:rgbColor rgb="FF993366"/>
      <x:rgbColor rgb="FF333399"/>
      <x:rgbColor rgb="FF2E2A22"/>
    </x:indexedColors>
  </x:colors>
</x:styleSheet>
</file>

<file path=xl/_rels/workbook.xml.rels>&#65279;<?xml version="1.0" encoding="utf-8"?><Relationships xmlns="http://schemas.openxmlformats.org/package/2006/relationships"><Relationship Type="http://schemas.openxmlformats.org/officeDocument/2006/relationships/styles" Target="/xl/styles.xml" Id="Rf27aec6770ec417f" /><Relationship Type="http://schemas.openxmlformats.org/officeDocument/2006/relationships/theme" Target="/xl/theme/theme1.xml" Id="R1ab0b3bc079f459a" /><Relationship Type="http://schemas.openxmlformats.org/officeDocument/2006/relationships/sharedStrings" Target="/xl/sharedStrings.xml" Id="R08d3af6a2b6d43bc" /><Relationship Type="http://schemas.openxmlformats.org/officeDocument/2006/relationships/worksheet" Target="/xl/worksheets/sheet1.xml" Id="R3aea96c77c3a4ea9" /><Relationship Type="http://schemas.openxmlformats.org/officeDocument/2006/relationships/worksheet" Target="/xl/worksheets/sheet2.xml" Id="Rab4d431a2d2e4099" /><Relationship Type="http://schemas.openxmlformats.org/officeDocument/2006/relationships/worksheet" Target="/xl/worksheets/sheet3.xml" Id="R9eced51296814be9" /><Relationship Type="http://schemas.openxmlformats.org/officeDocument/2006/relationships/worksheet" Target="/xl/worksheets/sheet4.xml" Id="R229947c3843b47bf" /><Relationship Type="http://schemas.openxmlformats.org/officeDocument/2006/relationships/worksheet" Target="/xl/worksheets/sheet5.xml" Id="R5f38365f2f914ecb" /><Relationship Type="http://schemas.openxmlformats.org/officeDocument/2006/relationships/worksheet" Target="/xl/worksheets/sheet6.xml" Id="R8df4524fdc264064" /><Relationship Type="http://schemas.openxmlformats.org/officeDocument/2006/relationships/worksheet" Target="/xl/worksheets/sheet7.xml" Id="Re4a6a94fd7db47e1" /><Relationship Type="http://schemas.openxmlformats.org/officeDocument/2006/relationships/worksheet" Target="/xl/worksheets/sheet8.xml" Id="Rb3994973c98f41de" /><Relationship Type="http://schemas.openxmlformats.org/officeDocument/2006/relationships/worksheet" Target="/xl/worksheets/sheet9.xml" Id="Re13ace03d6184d6f" /><Relationship Type="http://schemas.openxmlformats.org/officeDocument/2006/relationships/worksheet" Target="/xl/worksheets/sheet10.xml" Id="R9d78d92e574c4d75" /><Relationship Type="http://schemas.openxmlformats.org/officeDocument/2006/relationships/worksheet" Target="/xl/worksheets/sheet11.xml" Id="R633024b554e44c2f" /><Relationship Type="http://schemas.openxmlformats.org/officeDocument/2006/relationships/worksheet" Target="/xl/worksheets/sheet12.xml" Id="Rec93c91a367e46c8" /><Relationship Type="http://schemas.openxmlformats.org/officeDocument/2006/relationships/worksheet" Target="/xl/worksheets/sheet13.xml" Id="R7f2e16072c9e4ac7" /><Relationship Type="http://schemas.openxmlformats.org/officeDocument/2006/relationships/worksheet" Target="/xl/worksheets/sheet14.xml" Id="Rfd7a0061659a418a" /><Relationship Type="http://schemas.openxmlformats.org/officeDocument/2006/relationships/worksheet" Target="/xl/worksheets/sheet15.xml" Id="Rd9c3e27ba8734696" /><Relationship Type="http://schemas.microsoft.com/office/2017/10/relationships/person" Target="/xl/persons/person.xml" Id="Rad83046058b64598" /></Relationships>
</file>

<file path=xl/drawings/_rels/drawing1.xml.rels>&#65279;<?xml version="1.0" encoding="utf-8"?><Relationships xmlns="http://schemas.openxmlformats.org/package/2006/relationships"><Relationship Type="http://schemas.openxmlformats.org/officeDocument/2006/relationships/chart" Target="/xl/drawings/charts/chart1.xml" Id="Rf77f18581e9d426a"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Value per share ($)</a:t>
            </a:r>
          </a:p>
        </c:rich>
      </c:tx>
      <c:overlay val="0"/>
    </c:title>
    <c:plotArea>
      <c:barChart>
        <c:barDir val="col"/>
        <c:varyColors val="0"/>
        <c:ser>
          <c:idx val="0"/>
          <c:order val="0"/>
          <c:tx>
            <c:v>Value per share</c:v>
          </c:tx>
          <c:spPr>
            <a:solidFill xmlns:a="http://schemas.openxmlformats.org/drawingml/2006/main">
              <a:srgbClr val="B8860B"/>
            </a:solidFill>
          </c:spPr>
          <c:cat>
            <c:strRef>
              <c:f>'Valuation Summary'!$F$11:$F$15</c:f>
              <c:strCache>
                <c:ptCount val="0"/>
              </c:strCache>
            </c:strRef>
          </c:cat>
          <c:val>
            <c:numRef>
              <c:f>'Valuation Summary'!$G$11:$G$15</c:f>
              <c:numCache>
                <c:formatCode>$0.00;($0.00);$0.00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1</xdr:col>
      <xdr:colOff>0</xdr:colOff>
      <xdr:row>17</xdr:row>
      <xdr:rowOff>0</xdr:rowOff>
    </xdr:from>
    <xdr:to>
      <xdr:col>10</xdr:col>
      <xdr:colOff>0</xdr:colOff>
      <xdr:row>33</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77f18581e9d426a"/>
        </a:graphicData>
      </a:graphic>
    </xdr:graphicFrame>
    <xdr:clientData/>
  </xdr:twoCellAnchor>
</xdr:wsDr>
</file>

<file path=xl/persons/person.xml><?xml version="1.0" encoding="utf-8"?>
<xltc:personList xmlns:xltc="http://schemas.microsoft.com/office/spreadsheetml/2018/threadedcomments">
  <xltc:person displayName="Mike Ye" id="{47BFFCB4-C38A-483D-BCB0-BDC9BB02B805}"/>
</xltc:personList>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threadedcomments/threadedcomment.xml><?xml version="1.0" encoding="utf-8"?>
<xltc:ThreadedComments xmlns:xltc="http://schemas.microsoft.com/office/spreadsheetml/2018/threadedcomments">
  <xltc:threadedComment ref="F7" dT="2026-09-08T00:27:55.757" personId="{47BFFCB4-C38A-483D-BCB0-BDC9BB02B805}" id="{5535F3AD-4BE4-4F66-9CF1-0846FA6DE050}">
    <xltc:text>Source: https://ir.surgerypartners.com/news-releases/news-release-details/surgery-partners-inc-announces-fourth-quarter-and-full-year-2025. FY2025 earnings release; FY2024 comparative.</xltc:text>
  </xltc:threadedComment>
  <xltc:threadedComment ref="F8" dT="2026-09-08T00:27:55.757" personId="{47BFFCB4-C38A-483D-BCB0-BDC9BB02B805}" id="{D0590059-F717-4A92-AE78-460A0F42F779}">
    <xltc:text>Source: https://ir.surgerypartners.com/news-releases/news-release-details/surgery-partners-inc-announces-fourth-quarter-and-full-year-2025. FY2025 earnings release; FY2024 comparative.</xltc:text>
  </xltc:threadedComment>
  <xltc:threadedComment ref="F26" dT="2026-09-08T00:27:55.757" personId="{47BFFCB4-C38A-483D-BCB0-BDC9BB02B805}" id="{F4AF8571-AEF8-4C85-8BB6-FB2F6C742E6C}">
    <xltc:text>Source: https://ir.surgerypartners.com/news-releases/news-release-details/surgery-partners-inc-announces-fourth-quarter-and-full-year-2025. FY2025 earnings release; FY2024 comparative.</xltc:text>
  </xltc:threadedComment>
  <xltc:threadedComment ref="F29" dT="2026-09-08T00:27:55.757" personId="{47BFFCB4-C38A-483D-BCB0-BDC9BB02B805}" id="{E08996A5-2F34-4D9A-B6B8-DC7226E43F2C}">
    <xltc:text>Source: https://ir.surgerypartners.com/news-releases/news-release-details/surgery-partners-inc-announces-fourth-quarter-and-full-year-2025. FY2025 earnings release; FY2024 comparative.</xltc:text>
  </xltc:threadedComment>
  <xltc:threadedComment ref="G7" dT="2026-09-08T00:27:55.757" personId="{47BFFCB4-C38A-483D-BCB0-BDC9BB02B805}" id="{E08B7CC1-4FEB-46B5-A10E-66201AE68CE6}">
    <xltc:text>Source: https://ir.surgerypartners.com/news-releases/news-release-details/surgery-partners-inc-announces-fourth-quarter-and-full-year-2025. FY2025 earnings release; FY2024 comparative.</xltc:text>
  </xltc:threadedComment>
  <xltc:threadedComment ref="G8" dT="2026-09-08T00:27:55.757" personId="{47BFFCB4-C38A-483D-BCB0-BDC9BB02B805}" id="{925FE82A-2494-40EB-99E8-E83D9C906DBC}">
    <xltc:text>Source: https://ir.surgerypartners.com/news-releases/news-release-details/surgery-partners-inc-announces-fourth-quarter-and-full-year-2025. FY2025 earnings release; FY2024 comparative.</xltc:text>
  </xltc:threadedComment>
  <xltc:threadedComment ref="G26" dT="2026-09-08T00:27:55.757" personId="{47BFFCB4-C38A-483D-BCB0-BDC9BB02B805}" id="{8214BDA6-5C49-417A-8601-E94ED2A0498B}">
    <xltc:text>Source: https://ir.surgerypartners.com/news-releases/news-release-details/surgery-partners-inc-announces-fourth-quarter-and-full-year-2025. FY2025 earnings release; FY2024 comparative.</xltc:text>
  </xltc:threadedComment>
  <xltc:threadedComment ref="G29" dT="2026-09-08T00:27:55.757" personId="{47BFFCB4-C38A-483D-BCB0-BDC9BB02B805}" id="{F8BBE11A-DA6C-457F-8BFE-48DD78A4A929}">
    <xltc:text>Source: https://ir.surgerypartners.com/news-releases/news-release-details/surgery-partners-inc-announces-fourth-quarter-and-full-year-2025. FY2025 earnings release; FY2024 comparative.</xltc:text>
  </xltc:threadedComment>
  <xltc:threadedComment ref="C7" dT="2026-09-08T00:27:56.117" personId="{47BFFCB4-C38A-483D-BCB0-BDC9BB02B805}" id="{CC9967D2-BE24-4AE5-B2A6-01B3099564FC}">
    <xltc:text>Source: https://ir.surgerypartners.com/news-releases/news-release-details/surgery-partners-inc-announces-fourth-quarter-and-full-year-2022; annual and comparative financial tables.</xltc:text>
  </xltc:threadedComment>
  <xltc:threadedComment ref="C8" dT="2026-09-08T00:27:56.117" personId="{47BFFCB4-C38A-483D-BCB0-BDC9BB02B805}" id="{848ECACC-9F65-4CCB-A12C-9BB1B94B8323}">
    <xltc:text>Source: https://ir.surgerypartners.com/news-releases/news-release-details/surgery-partners-inc-announces-fourth-quarter-and-full-year-2022; annual and comparative financial tables.</xltc:text>
  </xltc:threadedComment>
  <xltc:threadedComment ref="C9" dT="2026-09-08T00:27:56.117" personId="{47BFFCB4-C38A-483D-BCB0-BDC9BB02B805}" id="{4FCA6F86-7DE4-464F-9A51-71FFECAA4FD3}">
    <xltc:text>Source: https://ir.surgerypartners.com/news-releases/news-release-details/surgery-partners-inc-announces-fourth-quarter-and-full-year-2022; annual and comparative financial tables.</xltc:text>
  </xltc:threadedComment>
  <xltc:threadedComment ref="C11" dT="2026-09-08T00:27:56.117" personId="{47BFFCB4-C38A-483D-BCB0-BDC9BB02B805}" id="{E790E7BF-058B-4D93-8A04-573B980F1CF4}">
    <xltc:text>Source: https://ir.surgerypartners.com/news-releases/news-release-details/surgery-partners-inc-announces-fourth-quarter-and-full-year-2022; annual and comparative financial tables.</xltc:text>
  </xltc:threadedComment>
  <xltc:threadedComment ref="C15" dT="2026-09-08T00:27:56.117" personId="{47BFFCB4-C38A-483D-BCB0-BDC9BB02B805}" id="{FEFD41B6-F4B4-4F3D-BC77-DFF99A776E6F}">
    <xltc:text>Source: https://ir.surgerypartners.com/news-releases/news-release-details/surgery-partners-inc-announces-fourth-quarter-and-full-year-2022; annual and comparative financial tables.</xltc:text>
  </xltc:threadedComment>
  <xltc:threadedComment ref="C16" dT="2026-09-08T00:27:56.117" personId="{47BFFCB4-C38A-483D-BCB0-BDC9BB02B805}" id="{34DBFC74-8A88-458F-A51D-703099772D9D}">
    <xltc:text>Source: https://ir.surgerypartners.com/news-releases/news-release-details/surgery-partners-inc-announces-fourth-quarter-and-full-year-2022; annual and comparative financial tables.</xltc:text>
  </xltc:threadedComment>
  <xltc:threadedComment ref="C17" dT="2026-09-08T00:27:56.117" personId="{47BFFCB4-C38A-483D-BCB0-BDC9BB02B805}" id="{BA59908C-D725-4F0F-B03D-20E25D495771}">
    <xltc:text>Source: https://ir.surgerypartners.com/news-releases/news-release-details/surgery-partners-inc-announces-fourth-quarter-and-full-year-2022; annual and comparative financial tables.</xltc:text>
  </xltc:threadedComment>
  <xltc:threadedComment ref="C18" dT="2026-09-08T00:27:56.117" personId="{47BFFCB4-C38A-483D-BCB0-BDC9BB02B805}" id="{00EFAFA3-F8C3-4F5A-BD82-AB397F2FB0A5}">
    <xltc:text>Source: https://ir.surgerypartners.com/news-releases/news-release-details/surgery-partners-inc-announces-fourth-quarter-and-full-year-2022; annual and comparative financial tables.</xltc:text>
  </xltc:threadedComment>
  <xltc:threadedComment ref="C26" dT="2026-09-08T00:27:56.117" personId="{47BFFCB4-C38A-483D-BCB0-BDC9BB02B805}" id="{F1525A82-3D24-4552-850A-3F694434D1C3}">
    <xltc:text>Source: https://ir.surgerypartners.com/news-releases/news-release-details/surgery-partners-inc-announces-fourth-quarter-and-full-year-2022; annual and comparative financial tables.</xltc:text>
  </xltc:threadedComment>
  <xltc:threadedComment ref="C29" dT="2026-09-08T00:27:56.117" personId="{47BFFCB4-C38A-483D-BCB0-BDC9BB02B805}" id="{B9AD0C9E-6C9B-4756-9782-460B39A3F273}">
    <xltc:text>Source: https://ir.surgerypartners.com/news-releases/news-release-details/surgery-partners-inc-announces-fourth-quarter-and-full-year-2022; annual and comparative financial tables.</xltc:text>
  </xltc:threadedComment>
  <xltc:threadedComment ref="D7" dT="2026-09-08T00:27:56.118" personId="{47BFFCB4-C38A-483D-BCB0-BDC9BB02B805}" id="{F6088EC3-8F28-435C-A099-7F2AC0888CFF}">
    <xltc:text>Source: https://ir.surgerypartners.com/news-releases/news-release-details/surgery-partners-inc-announces-fourth-quarter-and-full-year-2022; annual and comparative financial tables.</xltc:text>
  </xltc:threadedComment>
  <xltc:threadedComment ref="D8" dT="2026-09-08T00:27:56.118" personId="{47BFFCB4-C38A-483D-BCB0-BDC9BB02B805}" id="{C503FAC1-B154-42C5-B077-9FB1A24AA167}">
    <xltc:text>Source: https://ir.surgerypartners.com/news-releases/news-release-details/surgery-partners-inc-announces-fourth-quarter-and-full-year-2022; annual and comparative financial tables.</xltc:text>
  </xltc:threadedComment>
  <xltc:threadedComment ref="D9" dT="2026-09-08T00:27:56.118" personId="{47BFFCB4-C38A-483D-BCB0-BDC9BB02B805}" id="{B6E29F55-B293-46EA-A431-A904A30C94A7}">
    <xltc:text>Source: https://ir.surgerypartners.com/news-releases/news-release-details/surgery-partners-inc-announces-fourth-quarter-and-full-year-2022; annual and comparative financial tables.</xltc:text>
  </xltc:threadedComment>
  <xltc:threadedComment ref="D11" dT="2026-09-08T00:27:56.118" personId="{47BFFCB4-C38A-483D-BCB0-BDC9BB02B805}" id="{4D0FA061-2531-44E7-9EA9-48929BADA1E7}">
    <xltc:text>Source: https://ir.surgerypartners.com/news-releases/news-release-details/surgery-partners-inc-announces-fourth-quarter-and-full-year-2022; annual and comparative financial tables.</xltc:text>
  </xltc:threadedComment>
  <xltc:threadedComment ref="D15" dT="2026-09-08T00:27:56.118" personId="{47BFFCB4-C38A-483D-BCB0-BDC9BB02B805}" id="{B2E6425D-5374-4CDF-896B-79FA69097182}">
    <xltc:text>Source: https://ir.surgerypartners.com/news-releases/news-release-details/surgery-partners-inc-announces-fourth-quarter-and-full-year-2022; annual and comparative financial tables.</xltc:text>
  </xltc:threadedComment>
  <xltc:threadedComment ref="D16" dT="2026-09-08T00:27:56.118" personId="{47BFFCB4-C38A-483D-BCB0-BDC9BB02B805}" id="{7450C301-ECAD-415D-8F5B-136EC918D75F}">
    <xltc:text>Source: https://ir.surgerypartners.com/news-releases/news-release-details/surgery-partners-inc-announces-fourth-quarter-and-full-year-2022; annual and comparative financial tables.</xltc:text>
  </xltc:threadedComment>
  <xltc:threadedComment ref="D17" dT="2026-09-08T00:27:56.118" personId="{47BFFCB4-C38A-483D-BCB0-BDC9BB02B805}" id="{817D46F8-BB97-4A69-B566-8E824D849471}">
    <xltc:text>Source: https://ir.surgerypartners.com/news-releases/news-release-details/surgery-partners-inc-announces-fourth-quarter-and-full-year-2022; annual and comparative financial tables.</xltc:text>
  </xltc:threadedComment>
  <xltc:threadedComment ref="D18" dT="2026-09-08T00:27:56.119" personId="{47BFFCB4-C38A-483D-BCB0-BDC9BB02B805}" id="{F6F716B8-C5B6-4BDB-96C0-7782B9C82260}">
    <xltc:text>Source: https://ir.surgerypartners.com/news-releases/news-release-details/surgery-partners-inc-announces-fourth-quarter-and-full-year-2022; annual and comparative financial tables.</xltc:text>
  </xltc:threadedComment>
  <xltc:threadedComment ref="D26" dT="2026-09-08T00:27:56.119" personId="{47BFFCB4-C38A-483D-BCB0-BDC9BB02B805}" id="{F3F293D1-6CB2-43B6-87E4-B1353B040CE3}">
    <xltc:text>Source: https://ir.surgerypartners.com/news-releases/news-release-details/surgery-partners-inc-announces-fourth-quarter-and-full-year-2022; annual and comparative financial tables.</xltc:text>
  </xltc:threadedComment>
  <xltc:threadedComment ref="D29" dT="2026-09-08T00:27:56.119" personId="{47BFFCB4-C38A-483D-BCB0-BDC9BB02B805}" id="{4CD7271F-D218-4D3D-9EB9-F01244C8D899}">
    <xltc:text>Source: https://ir.surgerypartners.com/news-releases/news-release-details/surgery-partners-inc-announces-fourth-quarter-and-full-year-2022; annual and comparative financial tables.</xltc:text>
  </xltc:threadedComment>
  <xltc:threadedComment ref="E7" dT="2026-09-08T00:27:56.119" personId="{47BFFCB4-C38A-483D-BCB0-BDC9BB02B805}" id="{2DF5D74D-61A4-4D5A-84FC-5E82759535B4}">
    <xltc:text>Source: https://ir.surgerypartners.com/news-releases/news-release-details/surgery-partners-inc-announces-fourth-quarter-and-full-year-2023; annual and comparative financial tables.</xltc:text>
  </xltc:threadedComment>
  <xltc:threadedComment ref="E8" dT="2026-09-08T00:27:56.119" personId="{47BFFCB4-C38A-483D-BCB0-BDC9BB02B805}" id="{6173CB13-E26D-4AD7-AF82-70C083711F5E}">
    <xltc:text>Source: https://ir.surgerypartners.com/news-releases/news-release-details/surgery-partners-inc-announces-fourth-quarter-and-full-year-2023; annual and comparative financial tables.</xltc:text>
  </xltc:threadedComment>
  <xltc:threadedComment ref="E9" dT="2026-09-08T00:27:56.119" personId="{47BFFCB4-C38A-483D-BCB0-BDC9BB02B805}" id="{0EC15DF8-8BAA-4E8A-8E7F-BFA1722866BB}">
    <xltc:text>Source: https://ir.surgerypartners.com/news-releases/news-release-details/surgery-partners-inc-announces-fourth-quarter-and-full-year-2023; annual and comparative financial tables.</xltc:text>
  </xltc:threadedComment>
  <xltc:threadedComment ref="E11" dT="2026-09-08T00:27:56.119" personId="{47BFFCB4-C38A-483D-BCB0-BDC9BB02B805}" id="{4DDEE2DB-1F48-4BB0-AE22-E98DCDCA7805}">
    <xltc:text>Source: https://ir.surgerypartners.com/news-releases/news-release-details/surgery-partners-inc-announces-fourth-quarter-and-full-year-2023; annual and comparative financial tables.</xltc:text>
  </xltc:threadedComment>
  <xltc:threadedComment ref="E15" dT="2026-09-08T00:27:56.12" personId="{47BFFCB4-C38A-483D-BCB0-BDC9BB02B805}" id="{C8F98F20-7013-47AD-A0FC-074753C366B7}">
    <xltc:text>Source: https://ir.surgerypartners.com/news-releases/news-release-details/surgery-partners-inc-announces-fourth-quarter-and-full-year-2023; annual and comparative financial tables.</xltc:text>
  </xltc:threadedComment>
  <xltc:threadedComment ref="E16" dT="2026-09-08T00:27:56.12" personId="{47BFFCB4-C38A-483D-BCB0-BDC9BB02B805}" id="{5DCDE10D-B791-4B5D-9B8A-31EF4EF2155D}">
    <xltc:text>Source: https://ir.surgerypartners.com/news-releases/news-release-details/surgery-partners-inc-announces-fourth-quarter-and-full-year-2023; annual and comparative financial tables.</xltc:text>
  </xltc:threadedComment>
  <xltc:threadedComment ref="E17" dT="2026-09-08T00:27:56.12" personId="{47BFFCB4-C38A-483D-BCB0-BDC9BB02B805}" id="{B3C2E283-1488-4808-AE75-D6C1361F2AF1}">
    <xltc:text>Source: https://ir.surgerypartners.com/news-releases/news-release-details/surgery-partners-inc-announces-fourth-quarter-and-full-year-2023; annual and comparative financial tables.</xltc:text>
  </xltc:threadedComment>
  <xltc:threadedComment ref="E18" dT="2026-09-08T00:27:56.12" personId="{47BFFCB4-C38A-483D-BCB0-BDC9BB02B805}" id="{D6F383FC-E098-4653-95D4-6C7E388431AD}">
    <xltc:text>Source: https://ir.surgerypartners.com/news-releases/news-release-details/surgery-partners-inc-announces-fourth-quarter-and-full-year-2023; annual and comparative financial tables.</xltc:text>
  </xltc:threadedComment>
  <xltc:threadedComment ref="E26" dT="2026-09-08T00:27:56.12" personId="{47BFFCB4-C38A-483D-BCB0-BDC9BB02B805}" id="{6806235A-1019-46A8-83A8-088EFB4F80A3}">
    <xltc:text>Source: https://ir.surgerypartners.com/news-releases/news-release-details/surgery-partners-inc-announces-fourth-quarter-and-full-year-2023; annual and comparative financial tables.</xltc:text>
  </xltc:threadedComment>
  <xltc:threadedComment ref="E29" dT="2026-09-08T00:27:56.12" personId="{47BFFCB4-C38A-483D-BCB0-BDC9BB02B805}" id="{909AB043-99B8-456C-82E1-1DCB3F496873}">
    <xltc:text>Source: https://ir.surgerypartners.com/news-releases/news-release-details/surgery-partners-inc-announces-fourth-quarter-and-full-year-2023; annual and comparative financial tables.</xltc:text>
  </xltc:threadedComment>
</xltc:ThreadedComments>
</file>

<file path=xl/threadedcomments/threadedcomment2.xml><?xml version="1.0" encoding="utf-8"?>
<xltc:ThreadedComments xmlns:xltc="http://schemas.microsoft.com/office/spreadsheetml/2018/threadedcomments">
  <xltc:threadedComment ref="C8" dT="2026-09-08T00:27:55.054" personId="{47BFFCB4-C38A-483D-BCB0-BDC9BB02B805}" id="{B6BA9C4C-E561-4E64-B3DC-F9BAEEB7B0EA}">
    <xltc:text>Source: https://ir.surgerypartners.com/news-releases/news-release-details/surgery-partners-inc-announces-second-quarter-2026-results; Quarter adjusted diluted shares (m).</xltc:text>
  </xltc:threadedComment>
  <xltc:threadedComment ref="C9" dT="2026-09-08T00:27:55.056" personId="{47BFFCB4-C38A-483D-BCB0-BDC9BB02B805}" id="{8D47F02B-3A9C-4FD6-BA4D-BE69A4CC1A4E}">
    <xltc:text>Source: https://ir.surgerypartners.com/news-releases/news-release-details/surgery-partners-inc-announces-second-quarter-2026-results; Quarter basic shares (m).</xltc:text>
  </xltc:threadedComment>
  <xltc:threadedComment ref="C10" dT="2026-09-08T00:27:55.057" personId="{47BFFCB4-C38A-483D-BCB0-BDC9BB02B805}" id="{D523344F-3CAA-4419-A00E-C1931F0AE8E4}">
    <xltc:text>Source: https://ir.surgerypartners.com/news-releases/news-release-details/surgery-partners-inc-announces-second-quarter-2026-results; Cash and equivalents.</xltc:text>
  </xltc:threadedComment>
  <xltc:threadedComment ref="C11" dT="2026-09-08T00:27:55.057" personId="{47BFFCB4-C38A-483D-BCB0-BDC9BB02B805}" id="{4515DFDD-0B00-4A0A-9D47-7637DDAA5754}">
    <xltc:text>Source: https://ir.surgerypartners.com/news-releases/news-release-details/surgery-partners-inc-announces-second-quarter-2026-results; Current funded debt.</xltc:text>
  </xltc:threadedComment>
  <xltc:threadedComment ref="C12" dT="2026-09-08T00:27:55.058" personId="{47BFFCB4-C38A-483D-BCB0-BDC9BB02B805}" id="{CED010DD-0D07-4C61-BEB9-0D02AEB1F6BE}">
    <xltc:text>Source: https://ir.surgerypartners.com/news-releases/news-release-details/surgery-partners-inc-announces-second-quarter-2026-results; Long-term funded debt.</xltc:text>
  </xltc:threadedComment>
  <xltc:threadedComment ref="C13" dT="2026-09-08T00:27:55.058" personId="{47BFFCB4-C38A-483D-BCB0-BDC9BB02B805}" id="{9F79F09D-E38C-4779-9FB9-AE98FDBDDB69}">
    <xltc:text>Source: https://ir.surgerypartners.com/news-releases/news-release-details/surgery-partners-inc-announces-second-quarter-2026-results; Total assets.</xltc:text>
  </xltc:threadedComment>
  <xltc:threadedComment ref="C14" dT="2026-09-08T00:27:55.059" personId="{47BFFCB4-C38A-483D-BCB0-BDC9BB02B805}" id="{9AFB76E9-6DBE-4FB0-BCAC-BB8CC72F428D}">
    <xltc:text>Source: https://ir.surgerypartners.com/news-releases/news-release-details/surgery-partners-inc-announces-second-quarter-2026-results; Total liabilities.</xltc:text>
  </xltc:threadedComment>
  <xltc:threadedComment ref="C15" dT="2026-09-08T00:27:55.059" personId="{47BFFCB4-C38A-483D-BCB0-BDC9BB02B805}" id="{C791D236-474F-43D5-B8AE-FF8A18012993}">
    <xltc:text>Source: https://ir.surgerypartners.com/news-releases/news-release-details/surgery-partners-inc-announces-second-quarter-2026-results; Redeemable NCI.</xltc:text>
  </xltc:threadedComment>
  <xltc:threadedComment ref="C16" dT="2026-09-08T00:27:55.06" personId="{47BFFCB4-C38A-483D-BCB0-BDC9BB02B805}" id="{ECB102B3-3C12-4944-B134-694AB6C14255}">
    <xltc:text>Source: https://ir.surgerypartners.com/news-releases/news-release-details/surgery-partners-inc-announces-second-quarter-2026-results; Nonredeemable NCI.</xltc:text>
  </xltc:threadedComment>
  <xltc:threadedComment ref="C17" dT="2026-09-08T00:27:55.061" personId="{47BFFCB4-C38A-483D-BCB0-BDC9BB02B805}" id="{551B7EDF-CFAD-4E29-B8C2-7B2260C6118E}">
    <xltc:text>Source: https://ir.surgerypartners.com/news-releases/news-release-details/surgery-partners-inc-announces-second-quarter-2026-results; Parent stockholders equity.</xltc:text>
  </xltc:threadedComment>
  <xltc:threadedComment ref="C18" dT="2026-09-08T00:27:55.061" personId="{47BFFCB4-C38A-483D-BCB0-BDC9BB02B805}" id="{345E4C1A-1CA0-434A-BC64-33D5963BDFAD}">
    <xltc:text>Source: https://ir.surgerypartners.com/news-releases/news-release-details/surgery-partners-inc-announces-second-quarter-2026-results; H1 revenue.</xltc:text>
  </xltc:threadedComment>
  <xltc:threadedComment ref="C19" dT="2026-09-08T00:27:55.062" personId="{47BFFCB4-C38A-483D-BCB0-BDC9BB02B805}" id="{5865AF7D-D80D-483A-A2EB-B349B2361C93}">
    <xltc:text>Source: https://ir.surgerypartners.com/news-releases/news-release-details/surgery-partners-inc-announces-second-quarter-2026-results; H1 company Adjusted EBITDA.</xltc:text>
  </xltc:threadedComment>
  <xltc:threadedComment ref="C20" dT="2026-09-08T00:27:55.062" personId="{47BFFCB4-C38A-483D-BCB0-BDC9BB02B805}" id="{664206C0-5C1F-4736-97E8-BA9E3B80674A}">
    <xltc:text>Source: https://ir.surgerypartners.com/news-releases/news-release-details/surgery-partners-inc-announces-second-quarter-2026-results; H1 GAAP operating income.</xltc:text>
  </xltc:threadedComment>
  <xltc:threadedComment ref="C21" dT="2026-09-08T00:27:55.062" personId="{47BFFCB4-C38A-483D-BCB0-BDC9BB02B805}" id="{F7BFE2F5-FBA5-47A6-99B0-A954A241252B}">
    <xltc:text>Source: https://ir.surgerypartners.com/news-releases/news-release-details/surgery-partners-inc-announces-second-quarter-2026-results; H1 D&amp;A.</xltc:text>
  </xltc:threadedComment>
  <xltc:threadedComment ref="C22" dT="2026-09-08T00:27:55.063" personId="{47BFFCB4-C38A-483D-BCB0-BDC9BB02B805}" id="{FA48B3B6-0E85-4195-A4F0-1A4860F9C573}">
    <xltc:text>Source: https://ir.surgerypartners.com/news-releases/news-release-details/surgery-partners-inc-announces-second-quarter-2026-results; H1 NCI net income.</xltc:text>
  </xltc:threadedComment>
  <xltc:threadedComment ref="C23" dT="2026-09-08T00:27:55.063" personId="{47BFFCB4-C38A-483D-BCB0-BDC9BB02B805}" id="{BDE6E1CB-BD70-44ED-8A93-0FA839114496}">
    <xltc:text>Source: https://ir.surgerypartners.com/news-releases/news-release-details/surgery-partners-inc-announces-second-quarter-2026-results; H1 NCI cash distributions.</xltc:text>
  </xltc:threadedComment>
  <xltc:threadedComment ref="C24" dT="2026-09-08T00:27:55.063" personId="{47BFFCB4-C38A-483D-BCB0-BDC9BB02B805}" id="{A32FFC4F-621C-4AA1-8162-6B38C08BFF9F}">
    <xltc:text>Source: https://ir.surgerypartners.com/news-releases/news-release-details/surgery-partners-inc-announces-second-quarter-2026-results; H1 net cash from operations.</xltc:text>
  </xltc:threadedComment>
  <xltc:threadedComment ref="C25" dT="2026-09-08T00:27:55.064" personId="{47BFFCB4-C38A-483D-BCB0-BDC9BB02B805}" id="{53AD2FFC-B418-4796-9206-0457ECED5578}">
    <xltc:text>Source: https://ir.surgerypartners.com/news-releases/news-release-details/surgery-partners-inc-announces-second-quarter-2026-results; H1 capex.</xltc:text>
  </xltc:threadedComment>
  <xltc:threadedComment ref="C26" dT="2026-09-08T00:27:55.064" personId="{47BFFCB4-C38A-483D-BCB0-BDC9BB02B805}" id="{7B57B0C3-1E4E-4AC7-9BD2-A2B4C1389638}">
    <xltc:text>Source: https://ir.surgerypartners.com/news-releases/news-release-details/surgery-partners-inc-announces-second-quarter-2026-results; H1 SBC.</xltc:text>
  </xltc:threadedComment>
  <xltc:threadedComment ref="C27" dT="2026-09-08T00:27:55.065" personId="{47BFFCB4-C38A-483D-BCB0-BDC9BB02B805}" id="{7D717CB9-01B1-44F4-82B4-45AFF161F762}">
    <xltc:text>Source: https://ir.surgerypartners.com/news-releases/news-release-details/surgery-partners-inc-announces-second-quarter-2026-results; H1 transaction and integration costs.</xltc:text>
  </xltc:threadedComment>
  <xltc:threadedComment ref="C28" dT="2026-09-08T00:27:55.065" personId="{47BFFCB4-C38A-483D-BCB0-BDC9BB02B805}" id="{CA09ABA9-738D-4EC4-AB0A-AE266DE3C99A}">
    <xltc:text>Source: https://ir.surgerypartners.com/news-releases/news-release-details/surgery-partners-inc-announces-second-quarter-2026-results; H1 de novo costs.</xltc:text>
  </xltc:threadedComment>
  <xltc:threadedComment ref="C29" dT="2026-09-08T00:27:55.066" personId="{47BFFCB4-C38A-483D-BCB0-BDC9BB02B805}" id="{1D2BE592-BC19-4A24-8006-141DDB9AA7D8}">
    <xltc:text>Source: https://ir.surgerypartners.com/news-releases/news-release-details/surgery-partners-inc-announces-second-quarter-2026-results; H1 disposal losses.</xltc:text>
  </xltc:threadedComment>
  <xltc:threadedComment ref="C30" dT="2026-09-08T00:27:55.066" personId="{47BFFCB4-C38A-483D-BCB0-BDC9BB02B805}" id="{97D1C690-244C-46CB-B613-7AA452285E22}">
    <xltc:text>Source: https://ir.surgerypartners.com/news-releases/news-release-details/surgery-partners-inc-announces-second-quarter-2026-results; H1 litigation costs.</xltc:text>
  </xltc:threadedComment>
  <xltc:threadedComment ref="C31" dT="2026-09-08T00:27:55.066" personId="{47BFFCB4-C38A-483D-BCB0-BDC9BB02B805}" id="{684F5DDC-2C8C-439D-809A-86A6FFB7A99D}">
    <xltc:text>Source: https://ir.surgerypartners.com/news-releases/news-release-details/surgery-partners-inc-announces-second-quarter-2026-results; H1 pretax income.</xltc:text>
  </xltc:threadedComment>
  <xltc:threadedComment ref="C32" dT="2026-09-08T00:27:55.067" personId="{47BFFCB4-C38A-483D-BCB0-BDC9BB02B805}" id="{CA16F10E-69FE-49F5-9848-E6AEE5FA9B67}">
    <xltc:text>Source: https://ir.surgerypartners.com/news-releases/news-release-details/surgery-partners-inc-announces-second-quarter-2026-results; H1 net interest expense.</xltc:text>
  </xltc:threadedComment>
  <xltc:threadedComment ref="C33" dT="2026-09-08T00:27:55.067" personId="{47BFFCB4-C38A-483D-BCB0-BDC9BB02B805}" id="{FAC83200-A7AB-4D1C-958A-355AA283AFD4}">
    <xltc:text>Source: https://ir.surgerypartners.com/news-releases/news-release-details/surgery-partners-inc-announces-second-quarter-2026-results; H1 consolidated net income.</xltc:text>
  </xltc:threadedComment>
  <xltc:threadedComment ref="C34" dT="2026-09-08T00:27:55.067" personId="{47BFFCB4-C38A-483D-BCB0-BDC9BB02B805}" id="{D1DD3314-E3E1-4585-B61C-94F1CD1B3A39}">
    <xltc:text>Source: https://ir.surgerypartners.com/news-releases/news-release-details/surgery-partners-inc-announces-second-quarter-2026-results; H1 parent net loss.</xltc:text>
  </xltc:threadedComment>
  <xltc:threadedComment ref="C35" dT="2026-09-08T00:27:55.068" personId="{47BFFCB4-C38A-483D-BCB0-BDC9BB02B805}" id="{637944DE-7D05-43FA-AF46-A638D832845B}">
    <xltc:text>Source: https://ir.surgerypartners.com/news-releases/news-release-details/surgery-partners-inc-announces-fourth-quarter-and-full-year-2025; FY2025 revenue.</xltc:text>
  </xltc:threadedComment>
  <xltc:threadedComment ref="C36" dT="2026-09-08T00:27:55.068" personId="{47BFFCB4-C38A-483D-BCB0-BDC9BB02B805}" id="{786B4C64-3F2E-48D2-8FAD-8E061FEDA119}">
    <xltc:text>Source: https://ir.surgerypartners.com/news-releases/news-release-details/surgery-partners-inc-announces-fourth-quarter-and-full-year-2025; FY2025 operating income.</xltc:text>
  </xltc:threadedComment>
  <xltc:threadedComment ref="C37" dT="2026-09-08T00:27:55.069" personId="{47BFFCB4-C38A-483D-BCB0-BDC9BB02B805}" id="{C84D673E-1947-4D27-80E1-D3E51704EF8E}">
    <xltc:text>Source: https://ir.surgerypartners.com/news-releases/news-release-details/surgery-partners-inc-announces-fourth-quarter-and-full-year-2025; FY2025 D&amp;A.</xltc:text>
  </xltc:threadedComment>
  <xltc:threadedComment ref="C38" dT="2026-09-08T00:27:55.07" personId="{47BFFCB4-C38A-483D-BCB0-BDC9BB02B805}" id="{AF1E543C-0002-48CC-81DD-E7A88E5DDED0}">
    <xltc:text>Source: https://ir.surgerypartners.com/news-releases/news-release-details/surgery-partners-inc-announces-fourth-quarter-and-full-year-2025; FY2025 company Adjusted EBITDA.</xltc:text>
  </xltc:threadedComment>
  <xltc:threadedComment ref="C39" dT="2026-09-08T00:27:55.07" personId="{47BFFCB4-C38A-483D-BCB0-BDC9BB02B805}" id="{994F8504-C3F9-4338-A93E-B35C2E6A8695}">
    <xltc:text>Source: https://ir.surgerypartners.com/news-releases/news-release-details/surgery-partners-inc-announces-fourth-quarter-and-full-year-2025; FY2025 NCI net income.</xltc:text>
  </xltc:threadedComment>
  <xltc:threadedComment ref="C40" dT="2026-09-08T00:27:55.07" personId="{47BFFCB4-C38A-483D-BCB0-BDC9BB02B805}" id="{AB6CF676-6B65-4284-88EB-45CAD2038635}">
    <xltc:text>Source: https://ir.surgerypartners.com/news-releases/news-release-details/surgery-partners-inc-announces-fourth-quarter-and-full-year-2025; FY2025 NCI cash distributions.</xltc:text>
  </xltc:threadedComment>
  <xltc:threadedComment ref="C41" dT="2026-09-08T00:27:55.071" personId="{47BFFCB4-C38A-483D-BCB0-BDC9BB02B805}" id="{DD5EDE8C-1440-44C3-858F-6F0CA12E2E3C}">
    <xltc:text>Source: https://ir.surgerypartners.com/news-releases/news-release-details/surgery-partners-inc-announces-fourth-quarter-and-full-year-2025; FY2025 cash from operations.</xltc:text>
  </xltc:threadedComment>
  <xltc:threadedComment ref="C42" dT="2026-09-08T00:27:55.071" personId="{47BFFCB4-C38A-483D-BCB0-BDC9BB02B805}" id="{A1FB540F-4B1F-48BE-ACD5-242538168DEA}">
    <xltc:text>Source: https://ir.surgerypartners.com/news-releases/news-release-details/surgery-partners-inc-announces-fourth-quarter-and-full-year-2025; FY2025 capex.</xltc:text>
  </xltc:threadedComment>
  <xltc:threadedComment ref="C43" dT="2026-09-08T00:27:55.071" personId="{47BFFCB4-C38A-483D-BCB0-BDC9BB02B805}" id="{86B1037F-6373-471F-897B-27BCEB2E8FA7}">
    <xltc:text>Source: https://ir.surgerypartners.com/news-releases/news-release-details/surgery-partners-inc-announces-fourth-quarter-and-full-year-2025; FY2025 SBC.</xltc:text>
  </xltc:threadedComment>
  <xltc:threadedComment ref="C44" dT="2026-09-08T00:27:55.072" personId="{47BFFCB4-C38A-483D-BCB0-BDC9BB02B805}" id="{6F222A7B-59D2-4350-9A6F-4305CC37E430}">
    <xltc:text>Source: https://ir.surgerypartners.com/news-releases/news-release-details/surgery-partners-inc-announces-second-quarter-2026-results; Prior H1 operating income.</xltc:text>
  </xltc:threadedComment>
  <xltc:threadedComment ref="C45" dT="2026-09-08T00:27:55.072" personId="{47BFFCB4-C38A-483D-BCB0-BDC9BB02B805}" id="{E0F93371-FD27-4496-B414-33C4CC9ECBFC}">
    <xltc:text>Source: https://ir.surgerypartners.com/news-releases/news-release-details/surgery-partners-inc-announces-second-quarter-2026-results; Prior H1 D&amp;A.</xltc:text>
  </xltc:threadedComment>
  <xltc:threadedComment ref="C46" dT="2026-09-08T00:27:55.072" personId="{47BFFCB4-C38A-483D-BCB0-BDC9BB02B805}" id="{EFA71836-3E39-4A76-B6DF-63AB6BA7ED98}">
    <xltc:text>Source: https://ir.surgerypartners.com/news-releases/news-release-details/surgery-partners-inc-announces-second-quarter-2026-results; Prior H1 company Adjusted EBITDA.</xltc:text>
  </xltc:threadedComment>
  <xltc:threadedComment ref="C47" dT="2026-09-08T00:27:55.073" personId="{47BFFCB4-C38A-483D-BCB0-BDC9BB02B805}" id="{8F444B3B-43B4-4CC5-A9C2-5DA84BAF745F}">
    <xltc:text>Source: https://ir.surgerypartners.com/news-releases/news-release-details/surgery-partners-inc-announces-second-quarter-2026-results; Prior H1 NCI net income.</xltc:text>
  </xltc:threadedComment>
  <xltc:threadedComment ref="C48" dT="2026-09-08T00:27:56.125" personId="{47BFFCB4-C38A-483D-BCB0-BDC9BB02B805}" id="{948CFB38-AD14-4A45-8317-AB39451B5928}">
    <xltc:text>Source: https://ir.surgerypartners.com/node/12016/html ; Note 3. Debt issuance costs $29.9m plus separate term-loan fair value discount $1.1m.</xltc:text>
  </xltc:threadedComment>
</xltc:ThreadedComments>
</file>

<file path=xl/worksheets/_rels/sheet2.xml.rels>&#65279;<?xml version="1.0" encoding="utf-8"?><Relationships xmlns="http://schemas.openxmlformats.org/package/2006/relationships"><Relationship Type="http://schemas.openxmlformats.org/officeDocument/2006/relationships/drawing" Target="/xl/drawings/drawing1.xml" Id="R0bd3cc97ef66430c" /></Relationships>
</file>

<file path=xl/worksheets/_rels/sheet4.xml.rels>&#65279;<?xml version="1.0" encoding="utf-8"?><Relationships xmlns="http://schemas.openxmlformats.org/package/2006/relationships"><Relationship Type="http://schemas.openxmlformats.org/officeDocument/2006/relationships/comments" Target="/xl/comments1.xml" Id="R9295c6b15df347a3" /><Relationship Type="http://schemas.openxmlformats.org/officeDocument/2006/relationships/vmlDrawing" Target="/xl/drawings/vmldrawing.vml" Id="R84ad2d9e44844056" /><Relationship Type="http://schemas.microsoft.com/office/2017/10/relationships/threadedComment" Target="/xl/threadedcomments/threadedcomment.xml" Id="R7712509541cd4a97" /></Relationships>
</file>

<file path=xl/worksheets/_rels/sheet6.xml.rels>&#65279;<?xml version="1.0" encoding="utf-8"?><Relationships xmlns="http://schemas.openxmlformats.org/package/2006/relationships"><Relationship Type="http://schemas.openxmlformats.org/officeDocument/2006/relationships/comments" Target="/xl/comments2.xml" Id="Re5366098287a4a9b" /><Relationship Type="http://schemas.openxmlformats.org/officeDocument/2006/relationships/vmlDrawing" Target="/xl/drawings/vmldrawing2.vml" Id="R1171cf31d6c44709" /></Relationships>
</file>

<file path=xl/worksheets/_rels/sheet7.xml.rels>&#65279;<?xml version="1.0" encoding="utf-8"?><Relationships xmlns="http://schemas.openxmlformats.org/package/2006/relationships"><Relationship Type="http://schemas.openxmlformats.org/officeDocument/2006/relationships/comments" Target="/xl/comments3.xml" Id="Rc47babfce8854cdc" /><Relationship Type="http://schemas.openxmlformats.org/officeDocument/2006/relationships/vmlDrawing" Target="/xl/drawings/vmldrawing3.vml" Id="Rdfa559f549b24790" /></Relationships>
</file>

<file path=xl/worksheets/_rels/sheet15.xml.rels>&#65279;<?xml version="1.0" encoding="utf-8"?><Relationships xmlns="http://schemas.openxmlformats.org/package/2006/relationships"><Relationship Type="http://schemas.openxmlformats.org/officeDocument/2006/relationships/comments" Target="/xl/comments4.xml" Id="Ra3cc501f558b4fca" /><Relationship Type="http://schemas.openxmlformats.org/officeDocument/2006/relationships/vmlDrawing" Target="/xl/drawings/vmldrawing4.vml" Id="R8f5ceab9619e4cd2" /><Relationship Type="http://schemas.microsoft.com/office/2017/10/relationships/threadedComment" Target="/xl/threadedcomments/threadedcomment2.xml" Id="R3b9fa82bbbd9444f" /></Relationships>
</file>

<file path=xl/worksheets/sheet1.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PRACTICAL VALUATION MODEL</x:v>
      </x:c>
      <x:c r="B1" s="113"/>
      <x:c r="C1" s="113"/>
      <x:c r="D1" s="113"/>
      <x:c r="E1" s="113"/>
      <x:c r="F1" s="113"/>
      <x:c r="G1" s="113"/>
      <x:c r="H1" s="113"/>
      <x:c r="I1" s="113"/>
      <x:c r="J1" s="113"/>
      <x:c r="K1" s="1"/>
      <x:c r="L1" s="1"/>
      <x:c r="M1" s="2"/>
      <x:c r="N1" s="2"/>
    </x:row>
    <x:row r="2" ht="20" hidden="0" customHeight="1">
      <x:c r="A2" s="103"/>
      <x:c r="B2" s="117" t="str">
        <x:v>MikeYe.com | Healthcare services | Valuation date: September 4, 2026</x:v>
      </x:c>
      <x:c r="C2" s="117"/>
      <x:c r="D2" s="117"/>
      <x:c r="E2" s="117"/>
      <x:c r="F2" s="117"/>
      <x:c r="G2" s="117"/>
      <x:c r="H2" s="117"/>
      <x:c r="I2" s="117"/>
      <x:c r="J2" s="117"/>
      <x:c r="K2" s="3"/>
      <x:c r="L2" s="3"/>
      <x:c r="M2" s="2"/>
      <x:c r="N2" s="2"/>
    </x:row>
    <x:row r="3" ht="20" hidden="0" customHeight="1">
      <x:c r="A3" s="90"/>
      <x:c r="B3" s="118"/>
      <x:c r="C3" s="118"/>
      <x:c r="D3" s="118"/>
      <x:c r="E3" s="118"/>
      <x:c r="F3" s="118"/>
      <x:c r="G3" s="118"/>
      <x:c r="H3" s="118"/>
      <x:c r="I3" s="118"/>
      <x:c r="J3" s="118"/>
      <x:c r="K3" s="2"/>
      <x:c r="L3" s="2"/>
      <x:c r="M3" s="2"/>
      <x:c r="N3" s="2"/>
    </x:row>
    <x:row r="4" ht="20" hidden="0" customHeight="1">
      <x:c r="A4" s="90"/>
      <x:c r="B4" s="88"/>
      <x:c r="C4" s="90"/>
      <x:c r="D4" s="90"/>
      <x:c r="E4" s="90"/>
      <x:c r="F4" s="90"/>
      <x:c r="G4" s="90"/>
      <x:c r="H4" s="90"/>
      <x:c r="I4" s="90"/>
      <x:c r="J4" s="90"/>
      <x:c r="K4" s="2"/>
      <x:c r="L4" s="2"/>
      <x:c r="M4" s="2"/>
      <x:c r="N4" s="2"/>
    </x:row>
    <x:row r="5" ht="20" hidden="0" customHeight="1">
      <x:c r="A5" s="90"/>
      <x:c r="B5" s="158" t="str">
        <x:v>Calculation status</x:v>
      </x:c>
      <x:c r="C5" s="291" t="str">
        <x:f>'Checks'!C24</x:f>
        <x:v>PASS</x:v>
      </x:c>
      <x:c r="D5" s="158"/>
      <x:c r="E5" s="90"/>
      <x:c r="F5" s="90"/>
      <x:c r="G5" s="90"/>
      <x:c r="H5" s="90"/>
      <x:c r="I5" s="90"/>
      <x:c r="J5" s="90"/>
      <x:c r="K5" s="2"/>
      <x:c r="L5" s="2"/>
      <x:c r="M5" s="2"/>
      <x:c r="N5" s="2"/>
    </x:row>
    <x:row r="6" ht="20" hidden="0" customHeight="1">
      <x:c r="A6" s="90"/>
      <x:c r="B6" s="158"/>
      <x:c r="C6" s="158"/>
      <x:c r="D6" s="158"/>
      <x:c r="E6" s="90"/>
      <x:c r="F6" s="90"/>
      <x:c r="G6" s="90"/>
      <x:c r="H6" s="90"/>
      <x:c r="I6" s="90"/>
      <x:c r="J6" s="90"/>
      <x:c r="K6" s="2"/>
      <x:c r="L6" s="2"/>
      <x:c r="M6" s="2"/>
      <x:c r="N6" s="2"/>
    </x:row>
    <x:row r="7" ht="20" hidden="0" customHeight="1">
      <x:c r="A7" s="90"/>
      <x:c r="B7" s="158"/>
      <x:c r="C7" s="158"/>
      <x:c r="D7" s="158"/>
      <x:c r="E7" s="90"/>
      <x:c r="F7" s="90"/>
      <x:c r="G7" s="90"/>
      <x:c r="H7" s="90"/>
      <x:c r="I7" s="90"/>
      <x:c r="J7" s="90"/>
      <x:c r="K7" s="2"/>
      <x:c r="L7" s="2"/>
      <x:c r="M7" s="2"/>
      <x:c r="N7" s="2"/>
    </x:row>
    <x:row r="8" ht="20" hidden="0" customHeight="1">
      <x:c r="A8" s="90"/>
      <x:c r="B8" s="158" t="str">
        <x:v>Start with the cash that survives physician distributions, debt service and reinvestment. Revenue growth is useful only if the physician relationships and case flow remain intact after ownership changes.</x:v>
      </x:c>
      <x:c r="C8" s="158"/>
      <x:c r="D8" s="158"/>
      <x:c r="E8" s="118"/>
      <x:c r="F8" s="118"/>
      <x:c r="G8" s="118"/>
      <x:c r="H8" s="118"/>
      <x:c r="I8" s="118"/>
      <x:c r="J8" s="118"/>
      <x:c r="K8" s="2"/>
      <x:c r="L8" s="2"/>
      <x:c r="M8" s="2"/>
      <x:c r="N8" s="2"/>
    </x:row>
    <x:row r="9" ht="20" hidden="0" customHeight="1">
      <x:c r="A9" s="90"/>
      <x:c r="B9" s="158"/>
      <x:c r="C9" s="158"/>
      <x:c r="D9" s="158"/>
      <x:c r="E9" s="118"/>
      <x:c r="F9" s="118"/>
      <x:c r="G9" s="118"/>
      <x:c r="H9" s="118"/>
      <x:c r="I9" s="118"/>
      <x:c r="J9" s="118"/>
      <x:c r="K9" s="2"/>
      <x:c r="L9" s="2"/>
      <x:c r="M9" s="2"/>
      <x:c r="N9" s="2"/>
    </x:row>
    <x:row r="10" ht="20" hidden="0" customHeight="1">
      <x:c r="A10" s="90"/>
      <x:c r="B10" s="118"/>
      <x:c r="C10" s="118"/>
      <x:c r="D10" s="118"/>
      <x:c r="E10" s="118"/>
      <x:c r="F10" s="118"/>
      <x:c r="G10" s="118"/>
      <x:c r="H10" s="118"/>
      <x:c r="I10" s="118"/>
      <x:c r="J10" s="118"/>
      <x:c r="K10" s="2"/>
      <x:c r="L10" s="2"/>
      <x:c r="M10" s="2"/>
      <x:c r="N10" s="2"/>
    </x:row>
    <x:row r="11" ht="20" hidden="0" customHeight="1">
      <x:c r="A11" s="90"/>
      <x:c r="B11" s="88"/>
      <x:c r="C11" s="90"/>
      <x:c r="D11" s="90"/>
      <x:c r="E11" s="90"/>
      <x:c r="F11" s="90"/>
      <x:c r="G11" s="90"/>
      <x:c r="H11" s="90"/>
      <x:c r="I11" s="90"/>
      <x:c r="J11" s="90"/>
      <x:c r="K11" s="2"/>
      <x:c r="L11" s="2"/>
      <x:c r="M11" s="2"/>
      <x:c r="N11" s="2"/>
    </x:row>
    <x:row r="12" ht="20" hidden="0" customHeight="1">
      <x:c r="A12" s="90"/>
      <x:c r="B12" s="88"/>
      <x:c r="C12" s="90"/>
      <x:c r="D12" s="90"/>
      <x:c r="E12" s="90"/>
      <x:c r="F12" s="90"/>
      <x:c r="G12" s="90"/>
      <x:c r="H12" s="90"/>
      <x:c r="I12" s="90"/>
      <x:c r="J12" s="90"/>
      <x:c r="K12" s="2"/>
      <x:c r="L12" s="2"/>
      <x:c r="M12" s="2"/>
      <x:c r="N12" s="2"/>
    </x:row>
    <x:row r="13" ht="24" hidden="0" customHeight="1">
      <x:c r="A13" s="90"/>
      <x:c r="B13" s="121" t="str">
        <x:v>HOW TO USE</x:v>
      </x:c>
      <x:c r="C13" s="121"/>
      <x:c r="D13" s="121"/>
      <x:c r="E13" s="121"/>
      <x:c r="F13" s="121"/>
      <x:c r="G13" s="121"/>
      <x:c r="H13" s="121"/>
      <x:c r="I13" s="121"/>
      <x:c r="J13" s="121"/>
      <x:c r="K13" s="2"/>
      <x:c r="L13" s="2"/>
      <x:c r="M13" s="2"/>
      <x:c r="N13" s="2"/>
    </x:row>
    <x:row r="14" ht="20" hidden="0" customHeight="1">
      <x:c r="A14" s="90"/>
      <x:c r="B14" s="88"/>
      <x:c r="C14" s="90"/>
      <x:c r="D14" s="90"/>
      <x:c r="E14" s="90"/>
      <x:c r="F14" s="90"/>
      <x:c r="G14" s="90"/>
      <x:c r="H14" s="90"/>
      <x:c r="I14" s="90"/>
      <x:c r="J14" s="90"/>
      <x:c r="K14" s="2"/>
      <x:c r="L14" s="2"/>
      <x:c r="M14" s="2"/>
      <x:c r="N14" s="2"/>
    </x:row>
    <x:row r="15" ht="20" hidden="0" customHeight="1">
      <x:c r="A15" s="90"/>
      <x:c r="B15" s="199" t="str">
        <x:v>1. Choose Base, Upside or Downside on Assumptions.
2. Read the ownership and cash reconciliation.
3. Compare DCF and consolidated peers without averaging the methods.
4. Test buyer financing and the maximum offer.
5. Check liquidity before treating an arithmetic PASS as an executable plan.</x:v>
      </x:c>
      <x:c r="C15" s="118"/>
      <x:c r="D15" s="118"/>
      <x:c r="E15" s="118"/>
      <x:c r="F15" s="118"/>
      <x:c r="G15" s="118"/>
      <x:c r="H15" s="118"/>
      <x:c r="I15" s="118"/>
      <x:c r="J15" s="118"/>
      <x:c r="K15" s="2"/>
      <x:c r="L15" s="2"/>
      <x:c r="M15" s="2"/>
      <x:c r="N15" s="2"/>
    </x:row>
    <x:row r="16" ht="20" hidden="0" customHeight="1">
      <x:c r="A16" s="90"/>
      <x:c r="B16" s="118"/>
      <x:c r="C16" s="118"/>
      <x:c r="D16" s="118"/>
      <x:c r="E16" s="118"/>
      <x:c r="F16" s="118"/>
      <x:c r="G16" s="118"/>
      <x:c r="H16" s="118"/>
      <x:c r="I16" s="118"/>
      <x:c r="J16" s="118"/>
      <x:c r="K16" s="2"/>
      <x:c r="L16" s="2"/>
      <x:c r="M16" s="2"/>
      <x:c r="N16" s="2"/>
    </x:row>
    <x:row r="17" ht="20" hidden="0" customHeight="1">
      <x:c r="A17" s="90"/>
      <x:c r="B17" s="166"/>
      <x:c r="C17" s="166"/>
      <x:c r="D17" s="166"/>
      <x:c r="E17" s="118"/>
      <x:c r="F17" s="118"/>
      <x:c r="G17" s="118"/>
      <x:c r="H17" s="118"/>
      <x:c r="I17" s="118"/>
      <x:c r="J17" s="118"/>
      <x:c r="K17" s="2"/>
      <x:c r="L17" s="2"/>
      <x:c r="M17" s="2"/>
      <x:c r="N17" s="2"/>
    </x:row>
    <x:row r="18" ht="20" hidden="0" customHeight="1">
      <x:c r="A18" s="90"/>
      <x:c r="B18" s="166"/>
      <x:c r="C18" s="166"/>
      <x:c r="D18" s="166"/>
      <x:c r="E18" s="118"/>
      <x:c r="F18" s="118"/>
      <x:c r="G18" s="118"/>
      <x:c r="H18" s="118"/>
      <x:c r="I18" s="118"/>
      <x:c r="J18" s="118"/>
      <x:c r="K18" s="2"/>
      <x:c r="L18" s="2"/>
      <x:c r="M18" s="2"/>
      <x:c r="N18" s="2"/>
    </x:row>
    <x:row r="19" ht="20" hidden="0" customHeight="1">
      <x:c r="A19" s="90"/>
      <x:c r="B19" s="166"/>
      <x:c r="C19" s="166"/>
      <x:c r="D19" s="166"/>
      <x:c r="E19" s="118"/>
      <x:c r="F19" s="118"/>
      <x:c r="G19" s="118"/>
      <x:c r="H19" s="118"/>
      <x:c r="I19" s="118"/>
      <x:c r="J19" s="118"/>
      <x:c r="K19" s="2"/>
      <x:c r="L19" s="2"/>
      <x:c r="M19" s="2"/>
      <x:c r="N19" s="2"/>
    </x:row>
    <x:row r="20" ht="20" hidden="0" customHeight="1">
      <x:c r="A20" s="90"/>
      <x:c r="B20" s="166"/>
      <x:c r="C20" s="166"/>
      <x:c r="D20" s="166"/>
      <x:c r="E20" s="118"/>
      <x:c r="F20" s="118"/>
      <x:c r="G20" s="118"/>
      <x:c r="H20" s="118"/>
      <x:c r="I20" s="118"/>
      <x:c r="J20" s="118"/>
      <x:c r="K20" s="2"/>
      <x:c r="L20" s="2"/>
      <x:c r="M20" s="2"/>
      <x:c r="N20" s="2"/>
    </x:row>
    <x:row r="21" ht="20" hidden="0" customHeight="1">
      <x:c r="A21" s="90"/>
      <x:c r="B21" s="166"/>
      <x:c r="C21" s="166"/>
      <x:c r="D21" s="166"/>
      <x:c r="E21" s="90"/>
      <x:c r="F21" s="90"/>
      <x:c r="G21" s="90"/>
      <x:c r="H21" s="90"/>
      <x:c r="I21" s="90"/>
      <x:c r="J21" s="90"/>
      <x:c r="K21" s="2"/>
      <x:c r="L21" s="2"/>
      <x:c r="M21" s="2"/>
      <x:c r="N21" s="2"/>
    </x:row>
    <x:row r="22" ht="20" hidden="0" customHeight="1">
      <x:c r="A22" s="90"/>
      <x:c r="B22" s="90"/>
      <x:c r="C22" s="90"/>
      <x:c r="D22" s="90"/>
      <x:c r="E22" s="90"/>
      <x:c r="F22" s="90"/>
      <x:c r="G22" s="90"/>
      <x:c r="H22" s="90"/>
      <x:c r="I22" s="90"/>
      <x:c r="J22" s="90"/>
      <x:c r="K22" s="2"/>
      <x:c r="L22" s="2"/>
      <x:c r="M22" s="2"/>
      <x:c r="N22" s="2"/>
    </x:row>
    <x:row r="23" ht="24" hidden="0" customHeight="1">
      <x:c r="A23" s="90"/>
      <x:c r="B23" s="121" t="str">
        <x:v>MODEL CONVENTIONS</x:v>
      </x:c>
      <x:c r="C23" s="121"/>
      <x:c r="D23" s="121"/>
      <x:c r="E23" s="121"/>
      <x:c r="F23" s="121"/>
      <x:c r="G23" s="121"/>
      <x:c r="H23" s="121"/>
      <x:c r="I23" s="121"/>
      <x:c r="J23" s="121"/>
      <x:c r="K23" s="2"/>
      <x:c r="L23" s="2"/>
      <x:c r="M23" s="2"/>
      <x:c r="N23" s="2"/>
    </x:row>
    <x:row r="24" ht="20" hidden="0" customHeight="1">
      <x:c r="A24" s="90"/>
      <x:c r="B24" s="88"/>
      <x:c r="C24" s="90"/>
      <x:c r="D24" s="90"/>
      <x:c r="E24" s="90"/>
      <x:c r="F24" s="90"/>
      <x:c r="G24" s="90"/>
      <x:c r="H24" s="90"/>
      <x:c r="I24" s="90"/>
      <x:c r="J24" s="90"/>
      <x:c r="K24" s="2"/>
      <x:c r="L24" s="2"/>
      <x:c r="M24" s="2"/>
      <x:c r="N24" s="2"/>
    </x:row>
    <x:row r="25" ht="20" hidden="0" customHeight="1">
      <x:c r="A25" s="90"/>
      <x:c r="B25" s="199" t="str">
        <x:v>Blue: editable assumptions. Green: links to another sheet. Black: calculations and reported inputs. Figures are US$ millions except shares and per-share values. Reported inputs are dated; market price, cash access, minority value, financing and future operations are assumptions.</x:v>
      </x:c>
      <x:c r="C25" s="118"/>
      <x:c r="D25" s="118"/>
      <x:c r="E25" s="118"/>
      <x:c r="F25" s="118"/>
      <x:c r="G25" s="118"/>
      <x:c r="H25" s="118"/>
      <x:c r="I25" s="118"/>
      <x:c r="J25" s="118"/>
      <x:c r="K25" s="2"/>
      <x:c r="L25" s="2"/>
      <x:c r="M25" s="2"/>
      <x:c r="N25" s="2"/>
    </x:row>
    <x:row r="26" ht="20" hidden="0" customHeight="1">
      <x:c r="A26" s="90"/>
      <x:c r="B26" s="199"/>
      <x:c r="C26" s="118"/>
      <x:c r="D26" s="118"/>
      <x:c r="E26" s="118"/>
      <x:c r="F26" s="118"/>
      <x:c r="G26" s="118"/>
      <x:c r="H26" s="118"/>
      <x:c r="I26" s="118"/>
      <x:c r="J26" s="118"/>
      <x:c r="K26" s="2"/>
      <x:c r="L26" s="2"/>
      <x:c r="M26" s="2"/>
      <x:c r="N26" s="2"/>
    </x:row>
    <x:row r="27" ht="20" hidden="0" customHeight="1">
      <x:c r="A27" s="90"/>
      <x:c r="B27" s="118"/>
      <x:c r="C27" s="118"/>
      <x:c r="D27" s="118"/>
      <x:c r="E27" s="118"/>
      <x:c r="F27" s="118"/>
      <x:c r="G27" s="118"/>
      <x:c r="H27" s="118"/>
      <x:c r="I27" s="118"/>
      <x:c r="J27" s="118"/>
      <x:c r="K27" s="2"/>
      <x:c r="L27" s="2"/>
      <x:c r="M27" s="2"/>
      <x:c r="N27" s="2"/>
    </x:row>
    <x:row r="28" ht="20" hidden="0" customHeight="1">
      <x:c r="A28" s="90"/>
      <x:c r="B28" s="118"/>
      <x:c r="C28" s="118"/>
      <x:c r="D28" s="118"/>
      <x:c r="E28" s="118"/>
      <x:c r="F28" s="118"/>
      <x:c r="G28" s="118"/>
      <x:c r="H28" s="118"/>
      <x:c r="I28" s="118"/>
      <x:c r="J28" s="118"/>
      <x:c r="K28" s="2"/>
      <x:c r="L28" s="2"/>
      <x:c r="M28" s="2"/>
      <x:c r="N28" s="2"/>
    </x:row>
    <x:row r="29" ht="20" hidden="0" customHeight="1">
      <x:c r="A29" s="90"/>
      <x:c r="B29" s="90"/>
      <x:c r="C29" s="90"/>
      <x:c r="D29" s="90"/>
      <x:c r="E29" s="90"/>
      <x:c r="F29" s="90"/>
      <x:c r="G29" s="90"/>
      <x:c r="H29" s="90"/>
      <x:c r="I29" s="90"/>
      <x:c r="J29" s="90"/>
      <x:c r="K29" s="2"/>
      <x:c r="L29" s="2"/>
      <x:c r="M29" s="2"/>
      <x:c r="N29" s="2"/>
    </x:row>
    <x:row r="30" ht="20" hidden="0" customHeight="1">
      <x:c r="A30" s="90"/>
      <x:c r="B30" s="90"/>
      <x:c r="C30" s="90"/>
      <x:c r="D30" s="90"/>
      <x:c r="E30" s="90"/>
      <x:c r="F30" s="90"/>
      <x:c r="G30" s="90"/>
      <x:c r="H30" s="90"/>
      <x:c r="I30" s="90"/>
      <x:c r="J30" s="90"/>
      <x:c r="K30" s="2"/>
      <x:c r="L30" s="2"/>
      <x:c r="M30" s="2"/>
      <x:c r="N30" s="2"/>
    </x:row>
    <x:row r="31" ht="20" hidden="0" customHeight="1">
      <x:c r="A31" s="90"/>
      <x:c r="B31" s="118" t="str">
        <x:v>The operating forecast starts with remaining H2 2026. Valuation includes only cash after September 4. The model assumes no pending Idaho Falls sale and no unbudgeted acquisition growth. Optional transaction and asset-level worksheets are separate from the headline methods.</x:v>
      </x:c>
      <x:c r="C31" s="118"/>
      <x:c r="D31" s="118"/>
      <x:c r="E31" s="118"/>
      <x:c r="F31" s="118"/>
      <x:c r="G31" s="118"/>
      <x:c r="H31" s="118"/>
      <x:c r="I31" s="118"/>
      <x:c r="J31" s="118"/>
      <x:c r="K31" s="2"/>
      <x:c r="L31" s="2"/>
      <x:c r="M31" s="2"/>
      <x:c r="N31" s="2"/>
    </x:row>
    <x:row r="32" ht="20" hidden="0" customHeight="1">
      <x:c r="A32" s="90"/>
      <x:c r="B32" s="118"/>
      <x:c r="C32" s="118"/>
      <x:c r="D32" s="118"/>
      <x:c r="E32" s="118"/>
      <x:c r="F32" s="118"/>
      <x:c r="G32" s="118"/>
      <x:c r="H32" s="118"/>
      <x:c r="I32" s="118"/>
      <x:c r="J32" s="118"/>
      <x:c r="K32" s="2"/>
      <x:c r="L32" s="2"/>
      <x:c r="M32" s="2"/>
      <x:c r="N32" s="2"/>
    </x:row>
    <x:row r="33" ht="20" hidden="0" customHeight="1">
      <x:c r="A33" s="90"/>
      <x:c r="B33" s="118"/>
      <x:c r="C33" s="118"/>
      <x:c r="D33" s="118"/>
      <x:c r="E33" s="118"/>
      <x:c r="F33" s="118"/>
      <x:c r="G33" s="118"/>
      <x:c r="H33" s="118"/>
      <x:c r="I33" s="118"/>
      <x:c r="J33" s="118"/>
      <x:c r="K33" s="2"/>
      <x:c r="L33" s="2"/>
      <x:c r="M33" s="2"/>
      <x:c r="N33" s="2"/>
    </x:row>
    <x:row r="34" ht="20" hidden="0" customHeight="1">
      <x:c r="A34" s="90"/>
      <x:c r="B34" s="118"/>
      <x:c r="C34" s="118"/>
      <x:c r="D34" s="118"/>
      <x:c r="E34" s="118"/>
      <x:c r="F34" s="118"/>
      <x:c r="G34" s="118"/>
      <x:c r="H34" s="118"/>
      <x:c r="I34" s="118"/>
      <x:c r="J34" s="118"/>
      <x:c r="K34" s="2"/>
      <x:c r="L34" s="2"/>
      <x:c r="M34" s="2"/>
      <x:c r="N34" s="2"/>
    </x:row>
    <x:row r="35" ht="20" hidden="0" customHeight="1">
      <x:c r="A35" s="90"/>
      <x:c r="B35" s="90"/>
      <x:c r="C35" s="90"/>
      <x:c r="D35" s="90"/>
      <x:c r="E35" s="90"/>
      <x:c r="F35" s="90"/>
      <x:c r="G35" s="90"/>
      <x:c r="H35" s="90"/>
      <x:c r="I35" s="90"/>
      <x:c r="J35" s="90"/>
      <x:c r="K35" s="2"/>
      <x:c r="L35" s="2"/>
      <x:c r="M35" s="2"/>
      <x:c r="N35" s="2"/>
    </x:row>
    <x:row r="36" ht="20" hidden="0" customHeight="1">
      <x:c r="A36" s="90"/>
      <x:c r="B36" s="90"/>
      <x:c r="C36" s="90"/>
      <x:c r="D36" s="90"/>
      <x:c r="E36" s="90"/>
      <x:c r="F36" s="90"/>
      <x:c r="G36" s="90"/>
      <x:c r="H36" s="90"/>
      <x:c r="I36" s="90"/>
      <x:c r="J36" s="90"/>
      <x:c r="K36" s="2"/>
      <x:c r="L36" s="2"/>
      <x:c r="M36" s="2"/>
      <x:c r="N36" s="2"/>
    </x:row>
    <x:row r="37" ht="20" hidden="0" customHeight="1">
      <x:c r="A37" s="90"/>
      <x:c r="B37" s="90"/>
      <x:c r="C37" s="90"/>
      <x:c r="D37" s="90"/>
      <x:c r="E37" s="90"/>
      <x:c r="F37" s="90"/>
      <x:c r="G37" s="90"/>
      <x:c r="H37" s="90"/>
      <x:c r="I37" s="90"/>
      <x:c r="J37" s="90"/>
      <x:c r="K37" s="2"/>
      <x:c r="L37" s="2"/>
      <x:c r="M37" s="2"/>
      <x:c r="N37" s="2"/>
    </x:row>
    <x:row r="38" ht="20" hidden="0" customHeight="1">
      <x:c r="A38" s="90"/>
      <x:c r="B38" s="90"/>
      <x:c r="C38" s="90"/>
      <x:c r="D38" s="90"/>
      <x:c r="E38" s="90"/>
      <x:c r="F38" s="90"/>
      <x:c r="G38" s="90"/>
      <x:c r="H38" s="90"/>
      <x:c r="I38" s="90"/>
      <x:c r="J38" s="90"/>
      <x:c r="K38" s="2"/>
      <x:c r="L38" s="2"/>
      <x:c r="M38" s="2"/>
      <x:c r="N38" s="2"/>
    </x:row>
    <x:row r="39" ht="20" hidden="0" customHeight="1">
      <x:c r="A39" s="90"/>
      <x:c r="B39" s="90"/>
      <x:c r="C39" s="90"/>
      <x:c r="D39" s="90"/>
      <x:c r="E39" s="90"/>
      <x:c r="F39" s="90"/>
      <x:c r="G39" s="90"/>
      <x:c r="H39" s="90"/>
      <x:c r="I39" s="90"/>
      <x:c r="J39" s="90"/>
      <x:c r="K39" s="2"/>
      <x:c r="L39" s="2"/>
      <x:c r="M39" s="2"/>
      <x:c r="N39" s="2"/>
    </x:row>
    <x:row r="40" ht="20" hidden="0" customHeight="1">
      <x:c r="A40" s="90"/>
      <x:c r="B40" s="90"/>
      <x:c r="C40" s="90"/>
      <x:c r="D40" s="90"/>
      <x:c r="E40" s="90"/>
      <x:c r="F40" s="90"/>
      <x:c r="G40" s="90"/>
      <x:c r="H40" s="90"/>
      <x:c r="I40" s="90"/>
      <x:c r="J40" s="90"/>
      <x:c r="K40" s="2"/>
      <x:c r="L40" s="2"/>
      <x:c r="M40" s="2"/>
      <x:c r="N40" s="2"/>
    </x:row>
    <x:row r="41" ht="20" hidden="0" customHeight="1">
      <x:c r="A41" s="90"/>
      <x:c r="B41" s="90"/>
      <x:c r="C41" s="90"/>
      <x:c r="D41" s="90"/>
      <x:c r="E41" s="90"/>
      <x:c r="F41" s="90"/>
      <x:c r="G41" s="90"/>
      <x:c r="H41" s="90"/>
      <x:c r="I41" s="90"/>
      <x:c r="J41" s="90"/>
      <x:c r="K41" s="2"/>
      <x:c r="L41" s="2"/>
      <x:c r="M41" s="2"/>
      <x:c r="N41" s="2"/>
    </x:row>
    <x:row r="42" ht="20" hidden="0" customHeight="1">
      <x:c r="A42" s="90"/>
      <x:c r="B42" s="90"/>
      <x:c r="C42" s="90"/>
      <x:c r="D42" s="90"/>
      <x:c r="E42" s="90"/>
      <x:c r="F42" s="90"/>
      <x:c r="G42" s="90"/>
      <x:c r="H42" s="90"/>
      <x:c r="I42" s="90"/>
      <x:c r="J42" s="90"/>
      <x:c r="K42" s="2"/>
      <x:c r="L42" s="2"/>
      <x:c r="M42" s="2"/>
      <x:c r="N42" s="2"/>
    </x:row>
    <x:row r="43" ht="20" hidden="0" customHeight="1">
      <x:c r="A43" s="90"/>
      <x:c r="B43" s="90"/>
      <x:c r="C43" s="90"/>
      <x:c r="D43" s="90"/>
      <x:c r="E43" s="90"/>
      <x:c r="F43" s="90"/>
      <x:c r="G43" s="90"/>
      <x:c r="H43" s="90"/>
      <x:c r="I43" s="90"/>
      <x:c r="J43" s="90"/>
      <x:c r="K43" s="2"/>
      <x:c r="L43" s="2"/>
      <x:c r="M43" s="2"/>
      <x:c r="N43" s="2"/>
    </x:row>
    <x:row r="44" ht="20" hidden="0" customHeight="1">
      <x:c r="A44" s="90"/>
      <x:c r="B44" s="90"/>
      <x:c r="C44" s="90"/>
      <x:c r="D44" s="90"/>
      <x:c r="E44" s="90"/>
      <x:c r="F44" s="90"/>
      <x:c r="G44" s="90"/>
      <x:c r="H44" s="90"/>
      <x:c r="I44" s="90"/>
      <x:c r="J44" s="90"/>
      <x:c r="K44" s="2"/>
      <x:c r="L44" s="2"/>
      <x:c r="M44" s="2"/>
      <x:c r="N44" s="2"/>
    </x:row>
    <x:row r="45" ht="20" hidden="0" customHeight="1">
      <x:c r="A45" s="90"/>
      <x:c r="B45" s="90"/>
      <x:c r="C45" s="90"/>
      <x:c r="D45" s="90"/>
      <x:c r="E45" s="90"/>
      <x:c r="F45" s="90"/>
      <x:c r="G45" s="90"/>
      <x:c r="H45" s="90"/>
      <x:c r="I45" s="90"/>
      <x:c r="J45" s="90"/>
      <x:c r="K45" s="2"/>
      <x:c r="L45" s="2"/>
      <x:c r="M45" s="2"/>
      <x:c r="N45" s="2"/>
    </x:row>
    <x:row r="46" ht="20" hidden="0" customHeight="1">
      <x:c r="A46" s="90"/>
      <x:c r="B46" s="90"/>
      <x:c r="C46" s="90"/>
      <x:c r="D46" s="90"/>
      <x:c r="E46" s="90"/>
      <x:c r="F46" s="90"/>
      <x:c r="G46" s="90"/>
      <x:c r="H46" s="90"/>
      <x:c r="I46" s="90"/>
      <x:c r="J46" s="90"/>
      <x:c r="K46" s="2"/>
      <x:c r="L46" s="2"/>
      <x:c r="M46" s="2"/>
      <x:c r="N46" s="2"/>
    </x:row>
    <x:row r="47" ht="20" hidden="0" customHeight="1">
      <x:c r="A47" s="90"/>
      <x:c r="B47" s="90"/>
      <x:c r="C47" s="90"/>
      <x:c r="D47" s="90"/>
      <x:c r="E47" s="90"/>
      <x:c r="F47" s="90"/>
      <x:c r="G47" s="90"/>
      <x:c r="H47" s="90"/>
      <x:c r="I47" s="90"/>
      <x:c r="J47" s="90"/>
      <x:c r="K47" s="2"/>
      <x:c r="L47" s="2"/>
      <x:c r="M47" s="2"/>
      <x:c r="N47" s="2"/>
    </x:row>
    <x:row r="48" ht="15" hidden="0">
      <x:c r="A48" s="2"/>
      <x:c r="B48" s="2"/>
      <x:c r="C48" s="2"/>
      <x:c r="D48" s="2"/>
      <x:c r="E48" s="2"/>
      <x:c r="F48" s="2"/>
      <x:c r="G48" s="2"/>
      <x:c r="H48" s="2"/>
      <x:c r="I48" s="2"/>
      <x:c r="J48" s="2"/>
      <x:c r="K48" s="2"/>
      <x:c r="L48" s="2"/>
      <x:c r="M48" s="2"/>
      <x:c r="N48" s="2"/>
    </x:row>
    <x:row r="49" ht="15" hidden="0">
      <x:c r="A49" s="2"/>
      <x:c r="B49" s="2"/>
      <x:c r="C49" s="2"/>
      <x:c r="D49" s="2"/>
      <x:c r="E49" s="2"/>
      <x:c r="F49" s="2"/>
      <x:c r="G49" s="2"/>
      <x:c r="H49" s="2"/>
      <x:c r="I49" s="2"/>
      <x:c r="J49" s="2"/>
      <x:c r="K49" s="2"/>
      <x:c r="L49" s="2"/>
      <x:c r="M49" s="2"/>
      <x:c r="N49" s="2"/>
    </x:row>
    <x:row r="50" ht="15" hidden="0">
      <x:c r="A50" s="2"/>
      <x:c r="B50" s="2"/>
      <x:c r="C50" s="2"/>
      <x:c r="D50" s="2"/>
      <x:c r="E50" s="2"/>
      <x:c r="F50" s="2"/>
      <x:c r="G50" s="2"/>
      <x:c r="H50" s="2"/>
      <x:c r="I50" s="2"/>
      <x:c r="J50" s="2"/>
      <x:c r="K50" s="2"/>
      <x:c r="L50" s="2"/>
      <x:c r="M50" s="2"/>
      <x:c r="N50" s="2"/>
    </x:row>
    <x:row r="51" ht="15" hidden="0">
      <x:c r="A51" s="2"/>
      <x:c r="B51" s="2"/>
      <x:c r="C51" s="2"/>
      <x:c r="D51" s="2"/>
      <x:c r="E51" s="2"/>
      <x:c r="F51" s="2"/>
      <x:c r="G51" s="2"/>
      <x:c r="H51" s="2"/>
      <x:c r="I51" s="2"/>
      <x:c r="J51" s="2"/>
      <x:c r="K51" s="2"/>
      <x:c r="L51" s="2"/>
      <x:c r="M51" s="2"/>
      <x:c r="N51" s="2"/>
    </x:row>
    <x:row r="52" ht="15" hidden="0">
      <x:c r="A52" s="2"/>
      <x:c r="B52" s="2"/>
      <x:c r="C52" s="2"/>
      <x:c r="D52" s="2"/>
      <x:c r="E52" s="2"/>
      <x:c r="F52" s="2"/>
      <x:c r="G52" s="2"/>
      <x:c r="H52" s="2"/>
      <x:c r="I52" s="2"/>
      <x:c r="J52" s="2"/>
      <x:c r="K52" s="2"/>
      <x:c r="L52" s="2"/>
      <x:c r="M52" s="2"/>
      <x:c r="N52" s="2"/>
    </x:row>
    <x:row r="53" ht="15" hidden="0">
      <x:c r="A53" s="2"/>
      <x:c r="B53" s="2"/>
      <x:c r="C53" s="2"/>
      <x:c r="D53" s="2"/>
      <x:c r="E53" s="2"/>
      <x:c r="F53" s="2"/>
      <x:c r="G53" s="2"/>
      <x:c r="H53" s="2"/>
      <x:c r="I53" s="2"/>
      <x:c r="J53" s="2"/>
      <x:c r="K53" s="2"/>
      <x:c r="L53" s="2"/>
      <x:c r="M53" s="2"/>
      <x:c r="N53" s="2"/>
    </x:row>
    <x:row r="54" ht="15" hidden="0">
      <x:c r="A54" s="2"/>
      <x:c r="B54" s="2"/>
      <x:c r="C54" s="2"/>
      <x:c r="D54" s="2"/>
      <x:c r="E54" s="2"/>
      <x:c r="F54" s="2"/>
      <x:c r="G54" s="2"/>
      <x:c r="H54" s="2"/>
      <x:c r="I54" s="2"/>
      <x:c r="J54" s="2"/>
      <x:c r="K54" s="2"/>
      <x:c r="L54" s="2"/>
      <x:c r="M54" s="2"/>
      <x:c r="N54" s="2"/>
    </x:row>
    <x:row r="55" ht="15" hidden="0">
      <x:c r="A55" s="2"/>
      <x:c r="B55" s="2"/>
      <x:c r="C55" s="2"/>
      <x:c r="D55" s="2"/>
      <x:c r="E55" s="2"/>
      <x:c r="F55" s="2"/>
      <x:c r="G55" s="2"/>
      <x:c r="H55" s="2"/>
      <x:c r="I55" s="2"/>
      <x:c r="J55" s="2"/>
      <x:c r="K55" s="2"/>
      <x:c r="L55" s="2"/>
      <x:c r="M55" s="2"/>
      <x:c r="N55" s="2"/>
    </x:row>
    <x:row r="56" ht="15" hidden="0">
      <x:c r="A56" s="2"/>
      <x:c r="B56" s="2"/>
      <x:c r="C56" s="2"/>
      <x:c r="D56" s="2"/>
      <x:c r="E56" s="2"/>
      <x:c r="F56" s="2"/>
      <x:c r="G56" s="2"/>
      <x:c r="H56" s="2"/>
      <x:c r="I56" s="2"/>
      <x:c r="J56" s="2"/>
      <x:c r="K56" s="2"/>
      <x:c r="L56" s="2"/>
      <x:c r="M56" s="2"/>
      <x:c r="N56" s="2"/>
    </x:row>
    <x:row r="57" ht="15" hidden="0">
      <x:c r="A57" s="2"/>
      <x:c r="B57" s="2"/>
      <x:c r="C57" s="2"/>
      <x:c r="D57" s="2"/>
      <x:c r="E57" s="2"/>
      <x:c r="F57" s="2"/>
      <x:c r="G57" s="2"/>
      <x:c r="H57" s="2"/>
      <x:c r="I57" s="2"/>
      <x:c r="J57" s="2"/>
      <x:c r="K57" s="2"/>
      <x:c r="L57" s="2"/>
      <x:c r="M57" s="2"/>
      <x:c r="N57" s="2"/>
    </x:row>
    <x:row r="58" ht="15" hidden="0">
      <x:c r="A58" s="2"/>
      <x:c r="B58" s="2"/>
      <x:c r="C58" s="2"/>
      <x:c r="D58" s="2"/>
      <x:c r="E58" s="2"/>
      <x:c r="F58" s="2"/>
      <x:c r="G58" s="2"/>
      <x:c r="H58" s="2"/>
      <x:c r="I58" s="2"/>
      <x:c r="J58" s="2"/>
      <x:c r="K58" s="2"/>
      <x:c r="L58" s="2"/>
      <x:c r="M58" s="2"/>
      <x:c r="N58" s="2"/>
    </x:row>
    <x:row r="59" ht="15" hidden="0">
      <x:c r="A59" s="2"/>
      <x:c r="B59" s="2"/>
      <x:c r="C59" s="2"/>
      <x:c r="D59" s="2"/>
      <x:c r="E59" s="2"/>
      <x:c r="F59" s="2"/>
      <x:c r="G59" s="2"/>
      <x:c r="H59" s="2"/>
      <x:c r="I59" s="2"/>
      <x:c r="J59" s="2"/>
      <x:c r="K59" s="2"/>
      <x:c r="L59" s="2"/>
      <x:c r="M59" s="2"/>
      <x:c r="N59" s="2"/>
    </x:row>
    <x:row r="60" ht="15" hidden="0">
      <x:c r="A60" s="2"/>
      <x:c r="B60" s="2"/>
      <x:c r="C60" s="2"/>
      <x:c r="D60" s="2"/>
      <x:c r="E60" s="2"/>
      <x:c r="F60" s="2"/>
      <x:c r="G60" s="2"/>
      <x:c r="H60" s="2"/>
      <x:c r="I60" s="2"/>
      <x:c r="J60" s="2"/>
      <x:c r="K60" s="2"/>
      <x:c r="L60" s="2"/>
      <x:c r="M60" s="2"/>
      <x:c r="N60" s="2"/>
    </x:row>
    <x:row r="61" ht="15" hidden="0">
      <x:c r="A61" s="2"/>
      <x:c r="B61" s="2"/>
      <x:c r="C61" s="2"/>
      <x:c r="D61" s="2"/>
      <x:c r="E61" s="2"/>
      <x:c r="F61" s="2"/>
      <x:c r="G61" s="2"/>
      <x:c r="H61" s="2"/>
      <x:c r="I61" s="2"/>
      <x:c r="J61" s="2"/>
      <x:c r="K61" s="2"/>
      <x:c r="L61" s="2"/>
      <x:c r="M61" s="2"/>
      <x:c r="N61" s="2"/>
    </x:row>
    <x:row r="62" ht="15" hidden="0">
      <x:c r="A62" s="2"/>
      <x:c r="B62" s="2"/>
      <x:c r="C62" s="2"/>
      <x:c r="D62" s="2"/>
      <x:c r="E62" s="2"/>
      <x:c r="F62" s="2"/>
      <x:c r="G62" s="2"/>
      <x:c r="H62" s="2"/>
      <x:c r="I62" s="2"/>
      <x:c r="J62" s="2"/>
      <x:c r="K62" s="2"/>
      <x:c r="L62" s="2"/>
      <x:c r="M62" s="2"/>
      <x:c r="N62" s="2"/>
    </x:row>
    <x:row r="63" ht="15" hidden="0">
      <x:c r="A63" s="2"/>
      <x:c r="B63" s="2"/>
      <x:c r="C63" s="2"/>
      <x:c r="D63" s="2"/>
      <x:c r="E63" s="2"/>
      <x:c r="F63" s="2"/>
      <x:c r="G63" s="2"/>
      <x:c r="H63" s="2"/>
      <x:c r="I63" s="2"/>
      <x:c r="J63" s="2"/>
      <x:c r="K63" s="2"/>
      <x:c r="L63" s="2"/>
      <x:c r="M63" s="2"/>
      <x:c r="N63" s="2"/>
    </x:row>
    <x:row r="64" ht="15" hidden="0">
      <x:c r="A64" s="2"/>
      <x:c r="B64" s="2"/>
      <x:c r="C64" s="2"/>
      <x:c r="D64" s="2"/>
      <x:c r="E64" s="2"/>
      <x:c r="F64" s="2"/>
      <x:c r="G64" s="2"/>
      <x:c r="H64" s="2"/>
      <x:c r="I64" s="2"/>
      <x:c r="J64" s="2"/>
      <x:c r="K64" s="2"/>
      <x:c r="L64" s="2"/>
      <x:c r="M64" s="2"/>
      <x:c r="N64" s="2"/>
    </x:row>
    <x:row r="65" ht="15" hidden="0">
      <x:c r="A65" s="2"/>
      <x:c r="B65" s="2"/>
      <x:c r="C65" s="2"/>
      <x:c r="D65" s="2"/>
      <x:c r="E65" s="2"/>
      <x:c r="F65" s="2"/>
      <x:c r="G65" s="2"/>
      <x:c r="H65" s="2"/>
      <x:c r="I65" s="2"/>
      <x:c r="J65" s="2"/>
      <x:c r="K65" s="2"/>
      <x:c r="L65" s="2"/>
      <x:c r="M65" s="2"/>
      <x:c r="N65" s="2"/>
    </x:row>
    <x:row r="66" ht="15" hidden="0">
      <x:c r="A66" s="2"/>
      <x:c r="B66" s="2"/>
      <x:c r="C66" s="2"/>
      <x:c r="D66" s="2"/>
      <x:c r="E66" s="2"/>
      <x:c r="F66" s="2"/>
      <x:c r="G66" s="2"/>
      <x:c r="H66" s="2"/>
      <x:c r="I66" s="2"/>
      <x:c r="J66" s="2"/>
      <x:c r="K66" s="2"/>
      <x:c r="L66" s="2"/>
      <x:c r="M66" s="2"/>
      <x:c r="N66" s="2"/>
    </x:row>
    <x:row r="67" ht="15" hidden="0">
      <x:c r="A67" s="2"/>
      <x:c r="B67" s="2"/>
      <x:c r="C67" s="2"/>
      <x:c r="D67" s="2"/>
      <x:c r="E67" s="2"/>
      <x:c r="F67" s="2"/>
      <x:c r="G67" s="2"/>
      <x:c r="H67" s="2"/>
      <x:c r="I67" s="2"/>
      <x:c r="J67" s="2"/>
      <x:c r="K67" s="2"/>
      <x:c r="L67" s="2"/>
      <x:c r="M67" s="2"/>
      <x:c r="N67" s="2"/>
    </x:row>
    <x:row r="68" ht="15" hidden="0">
      <x:c r="A68" s="2"/>
      <x:c r="B68" s="2"/>
      <x:c r="C68" s="2"/>
      <x:c r="D68" s="2"/>
      <x:c r="E68" s="2"/>
      <x:c r="F68" s="2"/>
      <x:c r="G68" s="2"/>
      <x:c r="H68" s="2"/>
      <x:c r="I68" s="2"/>
      <x:c r="J68" s="2"/>
      <x:c r="K68" s="2"/>
      <x:c r="L68" s="2"/>
      <x:c r="M68" s="2"/>
      <x:c r="N68" s="2"/>
    </x:row>
    <x:row r="69" ht="15" hidden="0">
      <x:c r="A69" s="2"/>
      <x:c r="B69" s="2"/>
      <x:c r="C69" s="2"/>
      <x:c r="D69" s="2"/>
      <x:c r="E69" s="2"/>
      <x:c r="F69" s="2"/>
      <x:c r="G69" s="2"/>
      <x:c r="H69" s="2"/>
      <x:c r="I69" s="2"/>
      <x:c r="J69" s="2"/>
      <x:c r="K69" s="2"/>
      <x:c r="L69" s="2"/>
      <x:c r="M69" s="2"/>
      <x:c r="N69" s="2"/>
    </x:row>
    <x:row r="70" ht="15" hidden="0">
      <x:c r="A70" s="2"/>
      <x:c r="B70" s="2"/>
      <x:c r="C70" s="2"/>
      <x:c r="D70" s="2"/>
      <x:c r="E70" s="2"/>
      <x:c r="F70" s="2"/>
      <x:c r="G70" s="2"/>
      <x:c r="H70" s="2"/>
      <x:c r="I70" s="2"/>
      <x:c r="J70" s="2"/>
      <x:c r="K70" s="2"/>
      <x:c r="L70" s="2"/>
      <x:c r="M70" s="2"/>
      <x:c r="N70" s="2"/>
    </x:row>
    <x:row r="71" ht="15" hidden="0">
      <x:c r="A71" s="2"/>
      <x:c r="B71" s="2"/>
      <x:c r="C71" s="2"/>
      <x:c r="D71" s="2"/>
      <x:c r="E71" s="2"/>
      <x:c r="F71" s="2"/>
      <x:c r="G71" s="2"/>
      <x:c r="H71" s="2"/>
      <x:c r="I71" s="2"/>
      <x:c r="J71" s="2"/>
      <x:c r="K71" s="2"/>
      <x:c r="L71" s="2"/>
      <x:c r="M71" s="2"/>
      <x:c r="N71" s="2"/>
    </x:row>
    <x:row r="72" ht="15" hidden="0">
      <x:c r="A72" s="2"/>
      <x:c r="B72" s="2"/>
      <x:c r="C72" s="2"/>
      <x:c r="D72" s="2"/>
      <x:c r="E72" s="2"/>
      <x:c r="F72" s="2"/>
      <x:c r="G72" s="2"/>
      <x:c r="H72" s="2"/>
      <x:c r="I72" s="2"/>
      <x:c r="J72" s="2"/>
      <x:c r="K72" s="2"/>
      <x:c r="L72" s="2"/>
      <x:c r="M72" s="2"/>
      <x:c r="N72" s="2"/>
    </x:row>
    <x:row r="73" ht="15" hidden="0">
      <x:c r="A73" s="2"/>
      <x:c r="B73" s="2"/>
      <x:c r="C73" s="2"/>
      <x:c r="D73" s="2"/>
      <x:c r="E73" s="2"/>
      <x:c r="F73" s="2"/>
      <x:c r="G73" s="2"/>
      <x:c r="H73" s="2"/>
      <x:c r="I73" s="2"/>
      <x:c r="J73" s="2"/>
      <x:c r="K73" s="2"/>
      <x:c r="L73" s="2"/>
      <x:c r="M73" s="2"/>
      <x:c r="N73" s="2"/>
    </x:row>
    <x:row r="74" ht="15" hidden="0">
      <x:c r="A74" s="2"/>
      <x:c r="B74" s="2"/>
      <x:c r="C74" s="2"/>
      <x:c r="D74" s="2"/>
      <x:c r="E74" s="2"/>
      <x:c r="F74" s="2"/>
      <x:c r="G74" s="2"/>
      <x:c r="H74" s="2"/>
      <x:c r="I74" s="2"/>
      <x:c r="J74" s="2"/>
      <x:c r="K74" s="2"/>
      <x:c r="L74" s="2"/>
      <x:c r="M74" s="2"/>
      <x:c r="N74" s="2"/>
    </x:row>
    <x:row r="75" ht="15" hidden="0">
      <x:c r="A75" s="2"/>
      <x:c r="B75" s="2"/>
      <x:c r="C75" s="2"/>
      <x:c r="D75" s="2"/>
      <x:c r="E75" s="2"/>
      <x:c r="F75" s="2"/>
      <x:c r="G75" s="2"/>
      <x:c r="H75" s="2"/>
      <x:c r="I75" s="2"/>
      <x:c r="J75" s="2"/>
      <x:c r="K75" s="2"/>
      <x:c r="L75" s="2"/>
      <x:c r="M75" s="2"/>
      <x:c r="N75" s="2"/>
    </x:row>
    <x:row r="76" ht="15" hidden="0">
      <x:c r="A76" s="2"/>
      <x:c r="B76" s="2"/>
      <x:c r="C76" s="2"/>
      <x:c r="D76" s="2"/>
      <x:c r="E76" s="2"/>
      <x:c r="F76" s="2"/>
      <x:c r="G76" s="2"/>
      <x:c r="H76" s="2"/>
      <x:c r="I76" s="2"/>
      <x:c r="J76" s="2"/>
      <x:c r="K76" s="2"/>
      <x:c r="L76" s="2"/>
      <x:c r="M76" s="2"/>
      <x:c r="N76" s="2"/>
    </x:row>
    <x:row r="77" ht="15" hidden="0">
      <x:c r="A77" s="2"/>
      <x:c r="B77" s="2"/>
      <x:c r="C77" s="2"/>
      <x:c r="D77" s="2"/>
      <x:c r="E77" s="2"/>
      <x:c r="F77" s="2"/>
      <x:c r="G77" s="2"/>
      <x:c r="H77" s="2"/>
      <x:c r="I77" s="2"/>
      <x:c r="J77" s="2"/>
      <x:c r="K77" s="2"/>
      <x:c r="L77" s="2"/>
      <x:c r="M77" s="2"/>
      <x:c r="N77" s="2"/>
    </x:row>
    <x:row r="78" ht="15" hidden="0">
      <x:c r="A78" s="2"/>
      <x:c r="B78" s="2"/>
      <x:c r="C78" s="2"/>
      <x:c r="D78" s="2"/>
      <x:c r="E78" s="2"/>
      <x:c r="F78" s="2"/>
      <x:c r="G78" s="2"/>
      <x:c r="H78" s="2"/>
      <x:c r="I78" s="2"/>
      <x:c r="J78" s="2"/>
      <x:c r="K78" s="2"/>
      <x:c r="L78" s="2"/>
      <x:c r="M78" s="2"/>
      <x:c r="N78" s="2"/>
    </x:row>
    <x:row r="79" ht="15" hidden="0">
      <x:c r="A79" s="2"/>
      <x:c r="B79" s="2"/>
      <x:c r="C79" s="2"/>
      <x:c r="D79" s="2"/>
      <x:c r="E79" s="2"/>
      <x:c r="F79" s="2"/>
      <x:c r="G79" s="2"/>
      <x:c r="H79" s="2"/>
      <x:c r="I79" s="2"/>
      <x:c r="J79" s="2"/>
      <x:c r="K79" s="2"/>
      <x:c r="L79" s="2"/>
      <x:c r="M79" s="2"/>
      <x:c r="N79" s="2"/>
    </x:row>
    <x:row r="80" ht="15" hidden="0">
      <x:c r="A80" s="2"/>
      <x:c r="B80" s="2"/>
      <x:c r="C80" s="2"/>
      <x:c r="D80" s="2"/>
      <x:c r="E80" s="2"/>
      <x:c r="F80" s="2"/>
      <x:c r="G80" s="2"/>
      <x:c r="H80" s="2"/>
      <x:c r="I80" s="2"/>
      <x:c r="J80" s="2"/>
      <x:c r="K80" s="2"/>
      <x:c r="L80" s="2"/>
      <x:c r="M80" s="2"/>
      <x:c r="N80" s="2"/>
    </x:row>
    <x:row r="81" ht="15" hidden="0">
      <x:c r="A81" s="2"/>
      <x:c r="B81" s="2"/>
      <x:c r="C81" s="2"/>
      <x:c r="D81" s="2"/>
      <x:c r="E81" s="2"/>
      <x:c r="F81" s="2"/>
      <x:c r="G81" s="2"/>
      <x:c r="H81" s="2"/>
      <x:c r="I81" s="2"/>
      <x:c r="J81" s="2"/>
      <x:c r="K81" s="2"/>
      <x:c r="L81" s="2"/>
      <x:c r="M81" s="2"/>
      <x:c r="N81" s="2"/>
    </x:row>
    <x:row r="82" ht="15" hidden="0">
      <x:c r="A82" s="2"/>
      <x:c r="B82" s="2"/>
      <x:c r="C82" s="2"/>
      <x:c r="D82" s="2"/>
      <x:c r="E82" s="2"/>
      <x:c r="F82" s="2"/>
      <x:c r="G82" s="2"/>
      <x:c r="H82" s="2"/>
      <x:c r="I82" s="2"/>
      <x:c r="J82" s="2"/>
      <x:c r="K82" s="2"/>
      <x:c r="L82" s="2"/>
      <x:c r="M82" s="2"/>
      <x:c r="N82" s="2"/>
    </x:row>
    <x:row r="83" ht="15" hidden="0">
      <x:c r="A83" s="2"/>
      <x:c r="B83" s="2"/>
      <x:c r="C83" s="2"/>
      <x:c r="D83" s="2"/>
      <x:c r="E83" s="2"/>
      <x:c r="F83" s="2"/>
      <x:c r="G83" s="2"/>
      <x:c r="H83" s="2"/>
      <x:c r="I83" s="2"/>
      <x:c r="J83" s="2"/>
      <x:c r="K83" s="2"/>
      <x:c r="L83" s="2"/>
      <x:c r="M83" s="2"/>
      <x:c r="N83" s="2"/>
    </x:row>
    <x:row r="84" ht="15" hidden="0">
      <x:c r="A84" s="2"/>
      <x:c r="B84" s="2"/>
      <x:c r="C84" s="2"/>
      <x:c r="D84" s="2"/>
      <x:c r="E84" s="2"/>
      <x:c r="F84" s="2"/>
      <x:c r="G84" s="2"/>
      <x:c r="H84" s="2"/>
      <x:c r="I84" s="2"/>
      <x:c r="J84" s="2"/>
      <x:c r="K84" s="2"/>
      <x:c r="L84" s="2"/>
      <x:c r="M84" s="2"/>
      <x:c r="N84" s="2"/>
    </x:row>
    <x:row r="85" ht="15" hidden="0">
      <x:c r="A85" s="2"/>
      <x:c r="B85" s="2"/>
      <x:c r="C85" s="2"/>
      <x:c r="D85" s="2"/>
      <x:c r="E85" s="2"/>
      <x:c r="F85" s="2"/>
      <x:c r="G85" s="2"/>
      <x:c r="H85" s="2"/>
      <x:c r="I85" s="2"/>
      <x:c r="J85" s="2"/>
      <x:c r="K85" s="2"/>
      <x:c r="L85" s="2"/>
      <x:c r="M85" s="2"/>
      <x:c r="N85" s="2"/>
    </x:row>
    <x:row r="86" ht="15" hidden="0">
      <x:c r="A86" s="2"/>
      <x:c r="B86" s="2"/>
      <x:c r="C86" s="2"/>
      <x:c r="D86" s="2"/>
      <x:c r="E86" s="2"/>
      <x:c r="F86" s="2"/>
      <x:c r="G86" s="2"/>
      <x:c r="H86" s="2"/>
      <x:c r="I86" s="2"/>
      <x:c r="J86" s="2"/>
      <x:c r="K86" s="2"/>
      <x:c r="L86" s="2"/>
      <x:c r="M86" s="2"/>
      <x:c r="N86" s="2"/>
    </x:row>
    <x:row r="87" ht="15" hidden="0">
      <x:c r="A87" s="2"/>
      <x:c r="B87" s="2"/>
      <x:c r="C87" s="2"/>
      <x:c r="D87" s="2"/>
      <x:c r="E87" s="2"/>
      <x:c r="F87" s="2"/>
      <x:c r="G87" s="2"/>
      <x:c r="H87" s="2"/>
      <x:c r="I87" s="2"/>
      <x:c r="J87" s="2"/>
      <x:c r="K87" s="2"/>
      <x:c r="L87" s="2"/>
      <x:c r="M87" s="2"/>
      <x:c r="N87" s="2"/>
    </x:row>
    <x:row r="88" ht="15" hidden="0">
      <x:c r="A88" s="2"/>
      <x:c r="B88" s="2"/>
      <x:c r="C88" s="2"/>
      <x:c r="D88" s="2"/>
      <x:c r="E88" s="2"/>
      <x:c r="F88" s="2"/>
      <x:c r="G88" s="2"/>
      <x:c r="H88" s="2"/>
      <x:c r="I88" s="2"/>
      <x:c r="J88" s="2"/>
      <x:c r="K88" s="2"/>
      <x:c r="L88" s="2"/>
      <x:c r="M88" s="2"/>
      <x:c r="N88" s="2"/>
    </x:row>
    <x:row r="89" ht="15" hidden="0">
      <x:c r="A89" s="2"/>
      <x:c r="B89" s="2"/>
      <x:c r="C89" s="2"/>
      <x:c r="D89" s="2"/>
      <x:c r="E89" s="2"/>
      <x:c r="F89" s="2"/>
      <x:c r="G89" s="2"/>
      <x:c r="H89" s="2"/>
      <x:c r="I89" s="2"/>
      <x:c r="J89" s="2"/>
      <x:c r="K89" s="2"/>
      <x:c r="L89" s="2"/>
      <x:c r="M89" s="2"/>
      <x:c r="N89" s="2"/>
    </x:row>
    <x:row r="90" ht="15" hidden="0">
      <x:c r="A90" s="2"/>
      <x:c r="B90" s="2"/>
      <x:c r="C90" s="2"/>
      <x:c r="D90" s="2"/>
      <x:c r="E90" s="2"/>
      <x:c r="F90" s="2"/>
      <x:c r="G90" s="2"/>
      <x:c r="H90" s="2"/>
      <x:c r="I90" s="2"/>
      <x:c r="J90" s="2"/>
      <x:c r="K90" s="2"/>
      <x:c r="L90" s="2"/>
      <x:c r="M90" s="2"/>
      <x:c r="N90" s="2"/>
    </x:row>
    <x:row r="91" ht="15" hidden="0">
      <x:c r="A91" s="2"/>
      <x:c r="B91" s="2"/>
      <x:c r="C91" s="2"/>
      <x:c r="D91" s="2"/>
      <x:c r="E91" s="2"/>
      <x:c r="F91" s="2"/>
      <x:c r="G91" s="2"/>
      <x:c r="H91" s="2"/>
      <x:c r="I91" s="2"/>
      <x:c r="J91" s="2"/>
      <x:c r="K91" s="2"/>
      <x:c r="L91" s="2"/>
      <x:c r="M91" s="2"/>
      <x:c r="N91" s="2"/>
    </x:row>
    <x:row r="92" ht="15" hidden="0">
      <x:c r="A92" s="2"/>
      <x:c r="B92" s="2"/>
      <x:c r="C92" s="2"/>
      <x:c r="D92" s="2"/>
      <x:c r="E92" s="2"/>
      <x:c r="F92" s="2"/>
      <x:c r="G92" s="2"/>
      <x:c r="H92" s="2"/>
      <x:c r="I92" s="2"/>
      <x:c r="J92" s="2"/>
      <x:c r="K92" s="2"/>
      <x:c r="L92" s="2"/>
      <x:c r="M92" s="2"/>
      <x:c r="N92" s="2"/>
    </x:row>
    <x:row r="93" ht="15" hidden="0">
      <x:c r="A93" s="2"/>
      <x:c r="B93" s="2"/>
      <x:c r="C93" s="2"/>
      <x:c r="D93" s="2"/>
      <x:c r="E93" s="2"/>
      <x:c r="F93" s="2"/>
      <x:c r="G93" s="2"/>
      <x:c r="H93" s="2"/>
      <x:c r="I93" s="2"/>
      <x:c r="J93" s="2"/>
      <x:c r="K93" s="2"/>
      <x:c r="L93" s="2"/>
      <x:c r="M93" s="2"/>
      <x:c r="N93" s="2"/>
    </x:row>
    <x:row r="94" ht="15" hidden="0">
      <x:c r="A94" s="2"/>
      <x:c r="B94" s="2"/>
      <x:c r="C94" s="2"/>
      <x:c r="D94" s="2"/>
      <x:c r="E94" s="2"/>
      <x:c r="F94" s="2"/>
      <x:c r="G94" s="2"/>
      <x:c r="H94" s="2"/>
      <x:c r="I94" s="2"/>
      <x:c r="J94" s="2"/>
      <x:c r="K94" s="2"/>
      <x:c r="L94" s="2"/>
      <x:c r="M94" s="2"/>
      <x:c r="N94" s="2"/>
    </x:row>
    <x:row r="95" ht="15" hidden="0">
      <x:c r="A95" s="2"/>
      <x:c r="B95" s="2"/>
      <x:c r="C95" s="2"/>
      <x:c r="D95" s="2"/>
      <x:c r="E95" s="2"/>
      <x:c r="F95" s="2"/>
      <x:c r="G95" s="2"/>
      <x:c r="H95" s="2"/>
      <x:c r="I95" s="2"/>
      <x:c r="J95" s="2"/>
      <x:c r="K95" s="2"/>
      <x:c r="L95" s="2"/>
      <x:c r="M95" s="2"/>
      <x:c r="N95" s="2"/>
    </x:row>
    <x:row r="96" ht="15" hidden="0">
      <x:c r="A96" s="2"/>
      <x:c r="B96" s="2"/>
      <x:c r="C96" s="2"/>
      <x:c r="D96" s="2"/>
      <x:c r="E96" s="2"/>
      <x:c r="F96" s="2"/>
      <x:c r="G96" s="2"/>
      <x:c r="H96" s="2"/>
      <x:c r="I96" s="2"/>
      <x:c r="J96" s="2"/>
      <x:c r="K96" s="2"/>
      <x:c r="L96" s="2"/>
      <x:c r="M96" s="2"/>
      <x:c r="N96" s="2"/>
    </x:row>
    <x:row r="97" ht="15" hidden="0">
      <x:c r="A97" s="2"/>
      <x:c r="B97" s="2"/>
      <x:c r="C97" s="2"/>
      <x:c r="D97" s="2"/>
      <x:c r="E97" s="2"/>
      <x:c r="F97" s="2"/>
      <x:c r="G97" s="2"/>
      <x:c r="H97" s="2"/>
      <x:c r="I97" s="2"/>
      <x:c r="J97" s="2"/>
      <x:c r="K97" s="2"/>
      <x:c r="L97" s="2"/>
      <x:c r="M97" s="2"/>
      <x:c r="N97" s="2"/>
    </x:row>
    <x:row r="98" ht="15" hidden="0">
      <x:c r="A98" s="2"/>
      <x:c r="B98" s="2"/>
      <x:c r="C98" s="2"/>
      <x:c r="D98" s="2"/>
      <x:c r="E98" s="2"/>
      <x:c r="F98" s="2"/>
      <x:c r="G98" s="2"/>
      <x:c r="H98" s="2"/>
      <x:c r="I98" s="2"/>
      <x:c r="J98" s="2"/>
      <x:c r="K98" s="2"/>
      <x:c r="L98" s="2"/>
      <x:c r="M98" s="2"/>
      <x:c r="N98" s="2"/>
    </x:row>
    <x:row r="99" ht="15" hidden="0">
      <x:c r="A99" s="2"/>
      <x:c r="B99" s="2"/>
      <x:c r="C99" s="2"/>
      <x:c r="D99" s="2"/>
      <x:c r="E99" s="2"/>
      <x:c r="F99" s="2"/>
      <x:c r="G99" s="2"/>
      <x:c r="H99" s="2"/>
      <x:c r="I99" s="2"/>
      <x:c r="J99" s="2"/>
      <x:c r="K99" s="2"/>
      <x:c r="L99" s="2"/>
      <x:c r="M99" s="2"/>
      <x:c r="N99" s="2"/>
    </x:row>
    <x:row r="100" ht="15" hidden="0">
      <x:c r="A100" s="2"/>
      <x:c r="B100" s="2"/>
      <x:c r="C100" s="2"/>
      <x:c r="D100" s="2"/>
      <x:c r="E100" s="2"/>
      <x:c r="F100" s="2"/>
      <x:c r="G100" s="2"/>
      <x:c r="H100" s="2"/>
      <x:c r="I100" s="2"/>
      <x:c r="J100" s="2"/>
      <x:c r="K100" s="2"/>
      <x:c r="L100" s="2"/>
      <x:c r="M100" s="2"/>
      <x:c r="N100" s="2"/>
    </x:row>
    <x:row r="101" ht="15" hidden="0">
      <x:c r="A101" s="2"/>
      <x:c r="B101" s="2"/>
      <x:c r="C101" s="2"/>
      <x:c r="D101" s="2"/>
      <x:c r="E101" s="2"/>
      <x:c r="F101" s="2"/>
      <x:c r="G101" s="2"/>
      <x:c r="H101" s="2"/>
      <x:c r="I101" s="2"/>
      <x:c r="J101" s="2"/>
      <x:c r="K101" s="2"/>
      <x:c r="L101" s="2"/>
      <x:c r="M101" s="2"/>
      <x:c r="N101" s="2"/>
    </x:row>
    <x:row r="102" ht="15" hidden="0">
      <x:c r="A102" s="2"/>
      <x:c r="B102" s="2"/>
      <x:c r="C102" s="2"/>
      <x:c r="D102" s="2"/>
      <x:c r="E102" s="2"/>
      <x:c r="F102" s="2"/>
      <x:c r="G102" s="2"/>
      <x:c r="H102" s="2"/>
      <x:c r="I102" s="2"/>
      <x:c r="J102" s="2"/>
      <x:c r="K102" s="2"/>
      <x:c r="L102" s="2"/>
      <x:c r="M102" s="2"/>
      <x:c r="N102" s="2"/>
    </x:row>
    <x:row r="103" ht="15" hidden="0">
      <x:c r="A103" s="2"/>
      <x:c r="B103" s="2"/>
      <x:c r="C103" s="2"/>
      <x:c r="D103" s="2"/>
      <x:c r="E103" s="2"/>
      <x:c r="F103" s="2"/>
      <x:c r="G103" s="2"/>
      <x:c r="H103" s="2"/>
      <x:c r="I103" s="2"/>
      <x:c r="J103" s="2"/>
      <x:c r="K103" s="2"/>
      <x:c r="L103" s="2"/>
      <x:c r="M103" s="2"/>
      <x:c r="N103" s="2"/>
    </x:row>
    <x:row r="104" ht="15" hidden="0">
      <x:c r="A104" s="2"/>
      <x:c r="B104" s="2"/>
      <x:c r="C104" s="2"/>
      <x:c r="D104" s="2"/>
      <x:c r="E104" s="2"/>
      <x:c r="F104" s="2"/>
      <x:c r="G104" s="2"/>
      <x:c r="H104" s="2"/>
      <x:c r="I104" s="2"/>
      <x:c r="J104" s="2"/>
      <x:c r="K104" s="2"/>
      <x:c r="L104" s="2"/>
      <x:c r="M104" s="2"/>
      <x:c r="N104" s="2"/>
    </x:row>
    <x:row r="105" ht="15" hidden="0">
      <x:c r="A105" s="2"/>
      <x:c r="B105" s="2"/>
      <x:c r="C105" s="2"/>
      <x:c r="D105" s="2"/>
      <x:c r="E105" s="2"/>
      <x:c r="F105" s="2"/>
      <x:c r="G105" s="2"/>
      <x:c r="H105" s="2"/>
      <x:c r="I105" s="2"/>
      <x:c r="J105" s="2"/>
      <x:c r="K105" s="2"/>
      <x:c r="L105" s="2"/>
      <x:c r="M105" s="2"/>
      <x:c r="N105" s="2"/>
    </x:row>
    <x:row r="106" ht="15" hidden="0">
      <x:c r="A106" s="2"/>
      <x:c r="B106" s="2"/>
      <x:c r="C106" s="2"/>
      <x:c r="D106" s="2"/>
      <x:c r="E106" s="2"/>
      <x:c r="F106" s="2"/>
      <x:c r="G106" s="2"/>
      <x:c r="H106" s="2"/>
      <x:c r="I106" s="2"/>
      <x:c r="J106" s="2"/>
      <x:c r="K106" s="2"/>
      <x:c r="L106" s="2"/>
      <x:c r="M106" s="2"/>
      <x:c r="N106" s="2"/>
    </x:row>
    <x:row r="107" ht="15" hidden="0">
      <x:c r="A107" s="2"/>
      <x:c r="B107" s="2"/>
      <x:c r="C107" s="2"/>
      <x:c r="D107" s="2"/>
      <x:c r="E107" s="2"/>
      <x:c r="F107" s="2"/>
      <x:c r="G107" s="2"/>
      <x:c r="H107" s="2"/>
      <x:c r="I107" s="2"/>
      <x:c r="J107" s="2"/>
      <x:c r="K107" s="2"/>
      <x:c r="L107" s="2"/>
      <x:c r="M107" s="2"/>
      <x:c r="N107" s="2"/>
    </x:row>
    <x:row r="108" ht="15" hidden="0">
      <x:c r="A108" s="2"/>
      <x:c r="B108" s="2"/>
      <x:c r="C108" s="2"/>
      <x:c r="D108" s="2"/>
      <x:c r="E108" s="2"/>
      <x:c r="F108" s="2"/>
      <x:c r="G108" s="2"/>
      <x:c r="H108" s="2"/>
      <x:c r="I108" s="2"/>
      <x:c r="J108" s="2"/>
      <x:c r="K108" s="2"/>
      <x:c r="L108" s="2"/>
      <x:c r="M108" s="2"/>
      <x:c r="N108" s="2"/>
    </x:row>
    <x:row r="109" ht="15" hidden="0">
      <x:c r="A109" s="2"/>
      <x:c r="B109" s="2"/>
      <x:c r="C109" s="2"/>
      <x:c r="D109" s="2"/>
      <x:c r="E109" s="2"/>
      <x:c r="F109" s="2"/>
      <x:c r="G109" s="2"/>
      <x:c r="H109" s="2"/>
      <x:c r="I109" s="2"/>
      <x:c r="J109" s="2"/>
      <x:c r="K109" s="2"/>
      <x:c r="L109" s="2"/>
      <x:c r="M109" s="2"/>
      <x:c r="N109" s="2"/>
    </x:row>
    <x:row r="110" ht="15" hidden="0">
      <x:c r="A110" s="2"/>
      <x:c r="B110" s="2"/>
      <x:c r="C110" s="2"/>
      <x:c r="D110" s="2"/>
      <x:c r="E110" s="2"/>
      <x:c r="F110" s="2"/>
      <x:c r="G110" s="2"/>
      <x:c r="H110" s="2"/>
      <x:c r="I110" s="2"/>
      <x:c r="J110" s="2"/>
      <x:c r="K110" s="2"/>
      <x:c r="L110" s="2"/>
      <x:c r="M110" s="2"/>
      <x:c r="N110" s="2"/>
    </x:row>
    <x:row r="111" ht="15" hidden="0">
      <x:c r="A111" s="2"/>
      <x:c r="B111" s="2"/>
      <x:c r="C111" s="2"/>
      <x:c r="D111" s="2"/>
      <x:c r="E111" s="2"/>
      <x:c r="F111" s="2"/>
      <x:c r="G111" s="2"/>
      <x:c r="H111" s="2"/>
      <x:c r="I111" s="2"/>
      <x:c r="J111" s="2"/>
      <x:c r="K111" s="2"/>
      <x:c r="L111" s="2"/>
      <x:c r="M111" s="2"/>
      <x:c r="N111" s="2"/>
    </x:row>
    <x:row r="112" ht="15" hidden="0">
      <x:c r="A112" s="2"/>
      <x:c r="B112" s="2"/>
      <x:c r="C112" s="2"/>
      <x:c r="D112" s="2"/>
      <x:c r="E112" s="2"/>
      <x:c r="F112" s="2"/>
      <x:c r="G112" s="2"/>
      <x:c r="H112" s="2"/>
      <x:c r="I112" s="2"/>
      <x:c r="J112" s="2"/>
      <x:c r="K112" s="2"/>
      <x:c r="L112" s="2"/>
      <x:c r="M112" s="2"/>
      <x:c r="N112" s="2"/>
    </x:row>
    <x:row r="113" ht="15" hidden="0">
      <x:c r="A113" s="2"/>
      <x:c r="B113" s="2"/>
      <x:c r="C113" s="2"/>
      <x:c r="D113" s="2"/>
      <x:c r="E113" s="2"/>
      <x:c r="F113" s="2"/>
      <x:c r="G113" s="2"/>
      <x:c r="H113" s="2"/>
      <x:c r="I113" s="2"/>
      <x:c r="J113" s="2"/>
      <x:c r="K113" s="2"/>
      <x:c r="L113" s="2"/>
      <x:c r="M113" s="2"/>
      <x:c r="N113" s="2"/>
    </x:row>
    <x:row r="114" ht="15" hidden="0">
      <x:c r="A114" s="2"/>
      <x:c r="B114" s="2"/>
      <x:c r="C114" s="2"/>
      <x:c r="D114" s="2"/>
      <x:c r="E114" s="2"/>
      <x:c r="F114" s="2"/>
      <x:c r="G114" s="2"/>
      <x:c r="H114" s="2"/>
      <x:c r="I114" s="2"/>
      <x:c r="J114" s="2"/>
      <x:c r="K114" s="2"/>
      <x:c r="L114" s="2"/>
      <x:c r="M114" s="2"/>
      <x:c r="N114" s="2"/>
    </x:row>
    <x:row r="115" ht="15" hidden="0">
      <x:c r="A115" s="2"/>
      <x:c r="B115" s="2"/>
      <x:c r="C115" s="2"/>
      <x:c r="D115" s="2"/>
      <x:c r="E115" s="2"/>
      <x:c r="F115" s="2"/>
      <x:c r="G115" s="2"/>
      <x:c r="H115" s="2"/>
      <x:c r="I115" s="2"/>
      <x:c r="J115" s="2"/>
      <x:c r="K115" s="2"/>
      <x:c r="L115" s="2"/>
      <x:c r="M115" s="2"/>
      <x:c r="N115" s="2"/>
    </x:row>
    <x:row r="116" ht="15" hidden="0">
      <x:c r="A116" s="2"/>
      <x:c r="B116" s="2"/>
      <x:c r="C116" s="2"/>
      <x:c r="D116" s="2"/>
      <x:c r="E116" s="2"/>
      <x:c r="F116" s="2"/>
      <x:c r="G116" s="2"/>
      <x:c r="H116" s="2"/>
      <x:c r="I116" s="2"/>
      <x:c r="J116" s="2"/>
      <x:c r="K116" s="2"/>
      <x:c r="L116" s="2"/>
      <x:c r="M116" s="2"/>
      <x:c r="N116" s="2"/>
    </x:row>
    <x:row r="117" ht="15" hidden="0">
      <x:c r="A117" s="2"/>
      <x:c r="B117" s="2"/>
      <x:c r="C117" s="2"/>
      <x:c r="D117" s="2"/>
      <x:c r="E117" s="2"/>
      <x:c r="F117" s="2"/>
      <x:c r="G117" s="2"/>
      <x:c r="H117" s="2"/>
      <x:c r="I117" s="2"/>
      <x:c r="J117" s="2"/>
      <x:c r="K117" s="2"/>
      <x:c r="L117" s="2"/>
      <x:c r="M117" s="2"/>
      <x:c r="N117" s="2"/>
    </x:row>
    <x:row r="118" ht="15" hidden="0">
      <x:c r="A118" s="2"/>
      <x:c r="B118" s="2"/>
      <x:c r="C118" s="2"/>
      <x:c r="D118" s="2"/>
      <x:c r="E118" s="2"/>
      <x:c r="F118" s="2"/>
      <x:c r="G118" s="2"/>
      <x:c r="H118" s="2"/>
      <x:c r="I118" s="2"/>
      <x:c r="J118" s="2"/>
      <x:c r="K118" s="2"/>
      <x:c r="L118" s="2"/>
      <x:c r="M118" s="2"/>
      <x:c r="N118" s="2"/>
    </x:row>
    <x:row r="119" ht="15" hidden="0">
      <x:c r="A119" s="2"/>
      <x:c r="B119" s="2"/>
      <x:c r="C119" s="2"/>
      <x:c r="D119" s="2"/>
      <x:c r="E119" s="2"/>
      <x:c r="F119" s="2"/>
      <x:c r="G119" s="2"/>
      <x:c r="H119" s="2"/>
      <x:c r="I119" s="2"/>
      <x:c r="J119" s="2"/>
      <x:c r="K119" s="2"/>
      <x:c r="L119" s="2"/>
      <x:c r="M119" s="2"/>
      <x:c r="N119" s="2"/>
    </x:row>
    <x:row r="120" ht="15" hidden="0">
      <x:c r="A120" s="2"/>
      <x:c r="B120" s="2"/>
      <x:c r="C120" s="2"/>
      <x:c r="D120" s="2"/>
      <x:c r="E120" s="2"/>
      <x:c r="F120" s="2"/>
      <x:c r="G120" s="2"/>
      <x:c r="H120" s="2"/>
      <x:c r="I120" s="2"/>
      <x:c r="J120" s="2"/>
      <x:c r="K120" s="2"/>
      <x:c r="L120" s="2"/>
      <x:c r="M120" s="2"/>
      <x:c r="N120" s="2"/>
    </x:row>
  </x:sheetData>
  <x:mergeCells>
    <x:mergeCell ref="A1:J1"/>
    <x:mergeCell ref="B2:J3"/>
    <x:mergeCell ref="B8:J10"/>
    <x:mergeCell ref="B13:J13"/>
    <x:mergeCell ref="B15:J20"/>
    <x:mergeCell ref="B23:J23"/>
    <x:mergeCell ref="B25:J28"/>
    <x:mergeCell ref="B31:J34"/>
  </x:mergeCells>
  <x:pageMargins left="0.7" right="0.7" top="0.75" bottom="0.75" header="0.3" footer="0.3"/>
</x:worksheet>
</file>

<file path=xl/worksheets/sheet2.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5" width="13" hidden="0" customWidth="1"/>
    <x:col min="14" max="16" width="12"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VALUATION SUMMARY</x:v>
      </x:c>
      <x:c r="B1" s="113"/>
      <x:c r="C1" s="113"/>
      <x:c r="D1" s="113"/>
      <x:c r="E1" s="113"/>
      <x:c r="F1" s="113"/>
      <x:c r="G1" s="113"/>
      <x:c r="H1" s="113"/>
      <x:c r="I1" s="113"/>
      <x:c r="J1" s="113"/>
      <x:c r="K1" s="1"/>
      <x:c r="L1" s="1"/>
      <x:c r="M1" s="2"/>
      <x:c r="N1" s="2"/>
      <x:c r="O1" s="2"/>
      <x:c r="P1" s="2"/>
      <x:c r="Q1" s="2"/>
      <x:c r="R1" s="2"/>
    </x:row>
    <x:row r="2" ht="20" hidden="0" customHeight="1">
      <x:c r="A2" s="103"/>
      <x:c r="B2" s="117" t="str">
        <x:v>Separate standalone value, the consolidated peer lens and the buyer’s price ceiling. US$ per diluted share.</x:v>
      </x:c>
      <x:c r="C2" s="117"/>
      <x:c r="D2" s="117"/>
      <x:c r="E2" s="117"/>
      <x:c r="F2" s="117"/>
      <x:c r="G2" s="117"/>
      <x:c r="H2" s="117"/>
      <x:c r="I2" s="117"/>
      <x:c r="J2" s="117"/>
      <x:c r="K2" s="3"/>
      <x:c r="L2" s="3"/>
      <x:c r="M2" s="2"/>
      <x:c r="N2" s="2"/>
      <x:c r="O2" s="2"/>
      <x:c r="P2" s="2"/>
      <x:c r="Q2" s="2"/>
      <x:c r="R2" s="2"/>
    </x:row>
    <x:row r="3" ht="20" hidden="0" customHeight="1">
      <x:c r="A3" s="90"/>
      <x:c r="B3" s="118"/>
      <x:c r="C3" s="118"/>
      <x:c r="D3" s="118"/>
      <x:c r="E3" s="118"/>
      <x:c r="F3" s="118"/>
      <x:c r="G3" s="118"/>
      <x:c r="H3" s="118"/>
      <x:c r="I3" s="118"/>
      <x:c r="J3" s="118"/>
      <x:c r="K3" s="2"/>
      <x:c r="L3" s="2"/>
      <x:c r="M3" s="2"/>
      <x:c r="N3" s="2"/>
      <x:c r="O3" s="2"/>
      <x:c r="P3" s="2"/>
      <x:c r="Q3" s="2"/>
      <x:c r="R3" s="2"/>
    </x:row>
    <x:row r="4" ht="20" hidden="0" customHeight="1">
      <x:c r="A4" s="88"/>
      <x:c r="B4" s="88"/>
      <x:c r="C4" s="88"/>
      <x:c r="D4" s="88"/>
      <x:c r="E4" s="88"/>
      <x:c r="F4" s="88"/>
      <x:c r="G4" s="88"/>
      <x:c r="H4" s="88"/>
      <x:c r="I4" s="88"/>
      <x:c r="J4" s="88"/>
      <x:c r="K4" s="13"/>
      <x:c r="L4" s="13"/>
      <x:c r="M4" s="2"/>
      <x:c r="N4" s="6"/>
      <x:c r="O4" s="2"/>
      <x:c r="P4" s="2"/>
      <x:c r="Q4" s="2"/>
      <x:c r="R4" s="2"/>
    </x:row>
    <x:row r="5" ht="20" hidden="0" customHeight="1">
      <x:c r="A5" s="90"/>
      <x:c r="B5" s="88" t="str">
        <x:v>Calculation status</x:v>
      </x:c>
      <x:c r="C5" s="239" t="str">
        <x:f>'Checks'!C24</x:f>
        <x:v>PASS</x:v>
      </x:c>
      <x:c r="D5" s="92"/>
      <x:c r="E5" s="92"/>
      <x:c r="F5" s="90"/>
      <x:c r="G5" s="90"/>
      <x:c r="H5" s="90"/>
      <x:c r="I5" s="90"/>
      <x:c r="J5" s="90"/>
      <x:c r="K5" s="2"/>
      <x:c r="L5" s="2"/>
      <x:c r="M5" s="2"/>
      <x:c r="N5" s="6"/>
      <x:c r="O5" s="14"/>
      <x:c r="P5" s="14"/>
      <x:c r="Q5" s="2"/>
      <x:c r="R5" s="2"/>
    </x:row>
    <x:row r="6" ht="20" hidden="0" customHeight="1">
      <x:c r="A6" s="90"/>
      <x:c r="B6" s="90"/>
      <x:c r="C6" s="190">
        <x:f aca="0"/>
      </x:c>
      <x:c r="D6" s="190">
        <x:f aca="0"/>
      </x:c>
      <x:c r="E6" s="212">
        <x:f aca="0"/>
      </x:c>
      <x:c r="F6" s="90"/>
      <x:c r="G6" s="90"/>
      <x:c r="H6" s="90"/>
      <x:c r="I6" s="90"/>
      <x:c r="J6" s="90"/>
      <x:c r="K6" s="2"/>
      <x:c r="L6" s="2"/>
      <x:c r="M6" s="2"/>
      <x:c r="N6" s="7"/>
      <x:c r="O6" s="17">
        <x:f aca="0"/>
      </x:c>
      <x:c r="P6" s="17">
        <x:f aca="0"/>
      </x:c>
      <x:c r="Q6" s="2"/>
      <x:c r="R6" s="2"/>
    </x:row>
    <x:row r="7" ht="20" hidden="0" customHeight="1">
      <x:c r="A7" s="90"/>
      <x:c r="B7" s="90" t="str">
        <x:v>Share-price assumption</x:v>
      </x:c>
      <x:c r="C7" s="196" t="n">
        <x:f aca="0">'Assumptions'!C43</x:f>
        <x:v>14.26</x:v>
      </x:c>
      <x:c r="D7" s="190">
        <x:f aca="0"/>
      </x:c>
      <x:c r="E7" s="212">
        <x:f aca="0"/>
      </x:c>
      <x:c r="F7" s="90"/>
      <x:c r="G7" s="90"/>
      <x:c r="H7" s="90"/>
      <x:c r="I7" s="90"/>
      <x:c r="J7" s="90"/>
      <x:c r="K7" s="2"/>
      <x:c r="L7" s="2"/>
      <x:c r="M7" s="2"/>
      <x:c r="N7" s="7"/>
      <x:c r="O7" s="17">
        <x:f aca="0"/>
      </x:c>
      <x:c r="P7" s="17">
        <x:f aca="0"/>
      </x:c>
      <x:c r="Q7" s="2"/>
      <x:c r="R7" s="2"/>
    </x:row>
    <x:row r="8" ht="20" hidden="0" customHeight="1">
      <x:c r="A8" s="90"/>
      <x:c r="B8" s="90"/>
      <x:c r="C8" s="190">
        <x:f aca="0"/>
      </x:c>
      <x:c r="D8" s="190">
        <x:f aca="0"/>
      </x:c>
      <x:c r="E8" s="212">
        <x:f aca="0"/>
      </x:c>
      <x:c r="F8" s="90"/>
      <x:c r="G8" s="90"/>
      <x:c r="H8" s="90"/>
      <x:c r="I8" s="90"/>
      <x:c r="J8" s="90"/>
      <x:c r="K8" s="2"/>
      <x:c r="L8" s="2"/>
      <x:c r="M8" s="2"/>
      <x:c r="N8" s="7"/>
      <x:c r="O8" s="17">
        <x:f aca="0"/>
      </x:c>
      <x:c r="P8" s="17">
        <x:f aca="0"/>
      </x:c>
      <x:c r="Q8" s="2"/>
      <x:c r="R8" s="2"/>
    </x:row>
    <x:row r="9" ht="20" hidden="0" customHeight="1">
      <x:c r="A9" s="90"/>
      <x:c r="B9" s="90"/>
      <x:c r="C9" s="190">
        <x:f aca="0"/>
      </x:c>
      <x:c r="D9" s="190">
        <x:f aca="0"/>
      </x:c>
      <x:c r="E9" s="212">
        <x:f aca="0"/>
      </x:c>
      <x:c r="F9" s="90"/>
      <x:c r="G9" s="90"/>
      <x:c r="H9" s="90"/>
      <x:c r="I9" s="90"/>
      <x:c r="J9" s="90"/>
      <x:c r="K9" s="2"/>
      <x:c r="L9" s="2"/>
      <x:c r="M9" s="2"/>
      <x:c r="N9" s="7"/>
      <x:c r="O9" s="17">
        <x:f aca="0"/>
      </x:c>
      <x:c r="P9" s="17">
        <x:f aca="0"/>
      </x:c>
      <x:c r="Q9" s="2"/>
      <x:c r="R9" s="2"/>
    </x:row>
    <x:row r="10" ht="20" hidden="0" customHeight="1">
      <x:c r="A10" s="90"/>
      <x:c r="B10" s="90" t="str">
        <x:v>Valuation method</x:v>
      </x:c>
      <x:c r="C10" s="190" t="str">
        <x:v>Low / point</x:v>
      </x:c>
      <x:c r="D10" s="190" t="str">
        <x:v>High / point</x:v>
      </x:c>
      <x:c r="E10" s="190">
        <x:f aca="0"/>
      </x:c>
      <x:c r="F10" s="90" t="str">
        <x:v>Method</x:v>
      </x:c>
      <x:c r="G10" s="90" t="str">
        <x:v>Value per share</x:v>
      </x:c>
      <x:c r="H10" s="90"/>
      <x:c r="I10" s="90"/>
      <x:c r="J10" s="90"/>
      <x:c r="K10" s="2"/>
      <x:c r="L10" s="2"/>
      <x:c r="M10" s="2"/>
      <x:c r="N10" s="2"/>
      <x:c r="O10" s="2"/>
      <x:c r="P10" s="2"/>
      <x:c r="Q10" s="2"/>
      <x:c r="R10" s="2"/>
    </x:row>
    <x:row r="11" ht="20" hidden="0" customHeight="1">
      <x:c r="A11" s="90"/>
      <x:c r="B11" s="90" t="str">
        <x:v>DCF: perpetuity</x:v>
      </x:c>
      <x:c r="C11" s="244" t="n">
        <x:f>'DCF'!C50</x:f>
        <x:v>0</x:v>
      </x:c>
      <x:c r="D11" s="244" t="n">
        <x:f>'DCF'!C50</x:f>
        <x:v>0</x:v>
      </x:c>
      <x:c r="E11" s="90"/>
      <x:c r="F11" s="90" t="str">
        <x:v>DCF growth</x:v>
      </x:c>
      <x:c r="G11" s="152" t="n">
        <x:f>AVERAGE(C11:D11)</x:f>
        <x:v>0</x:v>
      </x:c>
      <x:c r="H11" s="90"/>
      <x:c r="I11" s="90"/>
      <x:c r="J11" s="90"/>
      <x:c r="K11" s="2"/>
      <x:c r="L11" s="2"/>
      <x:c r="M11" s="2"/>
      <x:c r="N11" s="2"/>
      <x:c r="O11" s="2"/>
      <x:c r="P11" s="2"/>
      <x:c r="Q11" s="2"/>
      <x:c r="R11" s="2"/>
    </x:row>
    <x:row r="12" ht="20" hidden="0" customHeight="1">
      <x:c r="A12" s="90"/>
      <x:c r="B12" s="88" t="str">
        <x:v>DCF: parent exit multiple</x:v>
      </x:c>
      <x:c r="C12" s="223" t="n">
        <x:f aca="0">'DCF'!D50</x:f>
        <x:v>0.7514505692949272</x:v>
      </x:c>
      <x:c r="D12" s="244" t="n">
        <x:f>'DCF'!D50</x:f>
        <x:v>0.7514505692949272</x:v>
      </x:c>
      <x:c r="E12" s="90"/>
      <x:c r="F12" s="90" t="str">
        <x:v>DCF exit</x:v>
      </x:c>
      <x:c r="G12" s="152" t="n">
        <x:f>AVERAGE(C12:D12)</x:f>
        <x:v>0.7514505692949272</x:v>
      </x:c>
      <x:c r="H12" s="90"/>
      <x:c r="I12" s="90"/>
      <x:c r="J12" s="90"/>
      <x:c r="K12" s="2"/>
      <x:c r="L12" s="2"/>
      <x:c r="M12" s="2"/>
      <x:c r="N12" s="2"/>
      <x:c r="O12" s="2"/>
      <x:c r="P12" s="2"/>
      <x:c r="Q12" s="2"/>
      <x:c r="R12" s="2"/>
    </x:row>
    <x:row r="13" ht="20" hidden="0" customHeight="1">
      <x:c r="A13" s="90"/>
      <x:c r="B13" s="90" t="str">
        <x:v>Consolidated trading comps</x:v>
      </x:c>
      <x:c r="C13" s="244" t="n">
        <x:f>'Trading Comps'!C25</x:f>
        <x:v>0</x:v>
      </x:c>
      <x:c r="D13" s="244" t="n">
        <x:f>'Trading Comps'!D25</x:f>
        <x:v>1.136020677433571</x:v>
      </x:c>
      <x:c r="E13" s="90"/>
      <x:c r="F13" s="90" t="str">
        <x:v>Comps midpoint</x:v>
      </x:c>
      <x:c r="G13" s="152" t="n">
        <x:f>AVERAGE(C13:D13)</x:f>
        <x:v>0.5680103387167855</x:v>
      </x:c>
      <x:c r="H13" s="90"/>
      <x:c r="I13" s="90"/>
      <x:c r="J13" s="90"/>
      <x:c r="K13" s="2"/>
      <x:c r="L13" s="2"/>
      <x:c r="M13" s="2"/>
      <x:c r="N13" s="2"/>
      <x:c r="O13" s="2"/>
      <x:c r="P13" s="2"/>
      <x:c r="Q13" s="2"/>
      <x:c r="R13" s="2"/>
    </x:row>
    <x:row r="14" ht="20" hidden="0" customHeight="1">
      <x:c r="A14" s="88"/>
      <x:c r="B14" s="88" t="str">
        <x:v>Buyer maximum offer</x:v>
      </x:c>
      <x:c r="C14" s="249" t="n">
        <x:f>'Acquisition Returns'!C44</x:f>
        <x:v>0</x:v>
      </x:c>
      <x:c r="D14" s="249" t="n">
        <x:f>'Acquisition Returns'!C44</x:f>
        <x:v>0</x:v>
      </x:c>
      <x:c r="E14" s="88"/>
      <x:c r="F14" s="88" t="str">
        <x:v>Buyer ceiling</x:v>
      </x:c>
      <x:c r="G14" s="287" t="n">
        <x:f>AVERAGE(C14:D14)</x:f>
        <x:v>0</x:v>
      </x:c>
      <x:c r="H14" s="88"/>
      <x:c r="I14" s="88"/>
      <x:c r="J14" s="88"/>
      <x:c r="K14" s="13"/>
      <x:c r="L14" s="13"/>
      <x:c r="M14" s="2"/>
      <x:c r="N14" s="2"/>
      <x:c r="O14" s="2"/>
      <x:c r="P14" s="2"/>
      <x:c r="Q14" s="2"/>
      <x:c r="R14" s="2"/>
    </x:row>
    <x:row r="15" ht="20" hidden="0" customHeight="1">
      <x:c r="A15" s="90"/>
      <x:c r="B15" s="90" t="str">
        <x:v>Illustrative offer price</x:v>
      </x:c>
      <x:c r="C15" s="223" t="n">
        <x:f>'Acquisition Returns'!C6</x:f>
        <x:v>17.825</x:v>
      </x:c>
      <x:c r="D15" s="223" t="n">
        <x:f>'Acquisition Returns'!C6</x:f>
        <x:v>17.825</x:v>
      </x:c>
      <x:c r="E15" s="90"/>
      <x:c r="F15" s="90" t="str">
        <x:v>Offer price</x:v>
      </x:c>
      <x:c r="G15" s="152" t="n">
        <x:f>AVERAGE(C15:D15)</x:f>
        <x:v>17.825</x:v>
      </x:c>
      <x:c r="H15" s="90"/>
      <x:c r="I15" s="90"/>
      <x:c r="J15" s="90"/>
      <x:c r="K15" s="2"/>
      <x:c r="L15" s="2"/>
      <x:c r="M15" s="2"/>
      <x:c r="N15" s="2"/>
      <x:c r="O15" s="2"/>
      <x:c r="P15" s="2"/>
      <x:c r="Q15" s="2"/>
      <x:c r="R15" s="2"/>
    </x:row>
    <x:row r="16" ht="20" hidden="0" customHeight="1">
      <x:c r="A16" s="90"/>
      <x:c r="B16" s="90"/>
      <x:c r="C16" s="106">
        <x:f aca="0"/>
      </x:c>
      <x:c r="D16" s="106">
        <x:f aca="0"/>
      </x:c>
      <x:c r="E16" s="90"/>
      <x:c r="F16" s="90"/>
      <x:c r="G16" s="90"/>
      <x:c r="H16" s="90"/>
      <x:c r="I16" s="90"/>
      <x:c r="J16" s="90"/>
      <x:c r="K16" s="2"/>
      <x:c r="L16" s="2"/>
      <x:c r="M16" s="2"/>
      <x:c r="N16" s="2"/>
      <x:c r="O16" s="2"/>
      <x:c r="P16" s="2"/>
      <x:c r="Q16" s="2"/>
      <x:c r="R16" s="2"/>
    </x:row>
    <x:row r="17" ht="20" hidden="0" customHeight="1">
      <x:c r="A17" s="90"/>
      <x:c r="B17" s="90"/>
      <x:c r="C17" s="106">
        <x:f aca="0"/>
      </x:c>
      <x:c r="D17" s="106">
        <x:f aca="0"/>
      </x:c>
      <x:c r="E17" s="90"/>
      <x:c r="F17" s="90"/>
      <x:c r="G17" s="90"/>
      <x:c r="H17" s="90"/>
      <x:c r="I17" s="90"/>
      <x:c r="J17" s="90"/>
      <x:c r="K17" s="2"/>
      <x:c r="L17" s="2"/>
      <x:c r="M17" s="2"/>
      <x:c r="N17" s="2"/>
      <x:c r="O17" s="2"/>
      <x:c r="P17" s="2"/>
      <x:c r="Q17" s="2"/>
      <x:c r="R17" s="2"/>
    </x:row>
    <x:row r="18" ht="20" hidden="0" customHeight="1">
      <x:c r="A18" s="90"/>
      <x:c r="B18" s="90"/>
      <x:c r="C18" s="190">
        <x:f aca="0"/>
      </x:c>
      <x:c r="D18" s="190">
        <x:f aca="0"/>
      </x:c>
      <x:c r="E18" s="90"/>
      <x:c r="F18" s="90"/>
      <x:c r="G18" s="90"/>
      <x:c r="H18" s="90"/>
      <x:c r="I18" s="90"/>
      <x:c r="J18" s="90"/>
      <x:c r="K18" s="2"/>
      <x:c r="L18" s="2"/>
      <x:c r="M18" s="2"/>
      <x:c r="N18" s="2"/>
      <x:c r="O18" s="2"/>
      <x:c r="P18" s="2"/>
      <x:c r="Q18" s="2"/>
      <x:c r="R18" s="2"/>
    </x:row>
    <x:row r="19" ht="20" hidden="0" customHeight="1">
      <x:c r="A19" s="90"/>
      <x:c r="B19" s="90"/>
      <x:c r="C19" s="90"/>
      <x:c r="D19" s="90"/>
      <x:c r="E19" s="90"/>
      <x:c r="F19" s="90"/>
      <x:c r="G19" s="90"/>
      <x:c r="H19" s="90"/>
      <x:c r="I19" s="90"/>
      <x:c r="J19" s="90"/>
      <x:c r="K19" s="2"/>
      <x:c r="L19" s="2"/>
      <x:c r="M19" s="2"/>
      <x:c r="N19" s="2"/>
      <x:c r="O19" s="2"/>
      <x:c r="P19" s="2"/>
      <x:c r="Q19" s="2"/>
      <x:c r="R19" s="2"/>
    </x:row>
    <x:row r="20" ht="20" hidden="0" customHeight="1">
      <x:c r="A20" s="90"/>
      <x:c r="B20" s="90"/>
      <x:c r="C20" s="90"/>
      <x:c r="D20" s="90"/>
      <x:c r="E20" s="90"/>
      <x:c r="F20" s="90"/>
      <x:c r="G20" s="90"/>
      <x:c r="H20" s="90"/>
      <x:c r="I20" s="90"/>
      <x:c r="J20" s="90"/>
      <x:c r="K20" s="2"/>
      <x:c r="L20" s="2"/>
      <x:c r="M20" s="2"/>
      <x:c r="N20" s="2"/>
      <x:c r="O20" s="2"/>
      <x:c r="P20" s="2"/>
      <x:c r="Q20" s="2"/>
      <x:c r="R20" s="2"/>
    </x:row>
    <x:row r="21" ht="20" hidden="0" customHeight="1">
      <x:c r="A21" s="90"/>
      <x:c r="B21" s="90"/>
      <x:c r="C21" s="90"/>
      <x:c r="D21" s="90"/>
      <x:c r="E21" s="90"/>
      <x:c r="F21" s="90"/>
      <x:c r="G21" s="90"/>
      <x:c r="H21" s="90"/>
      <x:c r="I21" s="90"/>
      <x:c r="J21" s="90"/>
      <x:c r="K21" s="2"/>
      <x:c r="L21" s="2"/>
      <x:c r="M21" s="2"/>
      <x:c r="N21" s="2"/>
      <x:c r="O21" s="2"/>
      <x:c r="P21" s="2"/>
      <x:c r="Q21" s="2"/>
      <x:c r="R21" s="2"/>
    </x:row>
    <x:row r="22" ht="20" hidden="0" customHeight="1">
      <x:c r="A22" s="90"/>
      <x:c r="B22" s="90"/>
      <x:c r="C22" s="90"/>
      <x:c r="D22" s="90"/>
      <x:c r="E22" s="90"/>
      <x:c r="F22" s="90"/>
      <x:c r="G22" s="90"/>
      <x:c r="H22" s="90"/>
      <x:c r="I22" s="90"/>
      <x:c r="J22" s="90"/>
      <x:c r="K22" s="2"/>
      <x:c r="L22" s="2"/>
      <x:c r="M22" s="2"/>
      <x:c r="N22" s="2"/>
      <x:c r="O22" s="2"/>
      <x:c r="P22" s="2"/>
      <x:c r="Q22" s="2"/>
      <x:c r="R22" s="2"/>
    </x:row>
    <x:row r="23" ht="20" hidden="0" customHeight="1">
      <x:c r="A23" s="90"/>
      <x:c r="B23" s="90"/>
      <x:c r="C23" s="90"/>
      <x:c r="D23" s="90"/>
      <x:c r="E23" s="90"/>
      <x:c r="F23" s="90"/>
      <x:c r="G23" s="90"/>
      <x:c r="H23" s="90"/>
      <x:c r="I23" s="90"/>
      <x:c r="J23" s="90"/>
      <x:c r="K23" s="2"/>
      <x:c r="L23" s="2"/>
      <x:c r="M23" s="2"/>
      <x:c r="N23" s="2"/>
      <x:c r="O23" s="2"/>
      <x:c r="P23" s="2"/>
      <x:c r="Q23" s="2"/>
      <x:c r="R23" s="2"/>
    </x:row>
    <x:row r="24" ht="20" hidden="0" customHeight="1">
      <x:c r="A24" s="90"/>
      <x:c r="B24" s="90"/>
      <x:c r="C24" s="90"/>
      <x:c r="D24" s="90"/>
      <x:c r="E24" s="90"/>
      <x:c r="F24" s="90"/>
      <x:c r="G24" s="90"/>
      <x:c r="H24" s="90"/>
      <x:c r="I24" s="90"/>
      <x:c r="J24" s="90"/>
      <x:c r="K24" s="2"/>
      <x:c r="L24" s="2"/>
      <x:c r="M24" s="2"/>
      <x:c r="N24" s="2"/>
      <x:c r="O24" s="2"/>
      <x:c r="P24" s="2"/>
      <x:c r="Q24" s="2"/>
      <x:c r="R24" s="2"/>
    </x:row>
    <x:row r="25" ht="20" hidden="0" customHeight="1">
      <x:c r="A25" s="90"/>
      <x:c r="B25" s="90"/>
      <x:c r="C25" s="90"/>
      <x:c r="D25" s="90"/>
      <x:c r="E25" s="90"/>
      <x:c r="F25" s="90"/>
      <x:c r="G25" s="90"/>
      <x:c r="H25" s="90"/>
      <x:c r="I25" s="90"/>
      <x:c r="J25" s="90"/>
      <x:c r="K25" s="2"/>
      <x:c r="L25" s="2"/>
      <x:c r="M25" s="2"/>
      <x:c r="N25" s="2"/>
      <x:c r="O25" s="2"/>
      <x:c r="P25" s="2"/>
      <x:c r="Q25" s="2"/>
      <x:c r="R25" s="2"/>
    </x:row>
    <x:row r="26" ht="20" hidden="0" customHeight="1">
      <x:c r="A26" s="90"/>
      <x:c r="B26" s="90"/>
      <x:c r="C26" s="90"/>
      <x:c r="D26" s="90"/>
      <x:c r="E26" s="90"/>
      <x:c r="F26" s="90"/>
      <x:c r="G26" s="90"/>
      <x:c r="H26" s="90"/>
      <x:c r="I26" s="90"/>
      <x:c r="J26" s="90"/>
      <x:c r="K26" s="2"/>
      <x:c r="L26" s="2"/>
      <x:c r="M26" s="2"/>
      <x:c r="N26" s="2"/>
      <x:c r="O26" s="2"/>
      <x:c r="P26" s="2"/>
      <x:c r="Q26" s="2"/>
      <x:c r="R26" s="2"/>
    </x:row>
    <x:row r="27" ht="20" hidden="0" customHeight="1">
      <x:c r="A27" s="90"/>
      <x:c r="B27" s="90"/>
      <x:c r="C27" s="90"/>
      <x:c r="D27" s="90"/>
      <x:c r="E27" s="90"/>
      <x:c r="F27" s="90"/>
      <x:c r="G27" s="90"/>
      <x:c r="H27" s="90"/>
      <x:c r="I27" s="90"/>
      <x:c r="J27" s="90"/>
      <x:c r="K27" s="2"/>
      <x:c r="L27" s="2"/>
      <x:c r="M27" s="2"/>
      <x:c r="N27" s="2"/>
      <x:c r="O27" s="2"/>
      <x:c r="P27" s="2"/>
      <x:c r="Q27" s="2"/>
      <x:c r="R27" s="2"/>
    </x:row>
    <x:row r="28" ht="20" hidden="0" customHeight="1">
      <x:c r="A28" s="90"/>
      <x:c r="B28" s="90"/>
      <x:c r="C28" s="90"/>
      <x:c r="D28" s="90"/>
      <x:c r="E28" s="90"/>
      <x:c r="F28" s="90"/>
      <x:c r="G28" s="90"/>
      <x:c r="H28" s="90"/>
      <x:c r="I28" s="90"/>
      <x:c r="J28" s="90"/>
      <x:c r="K28" s="2"/>
      <x:c r="L28" s="2"/>
      <x:c r="M28" s="2"/>
      <x:c r="N28" s="2"/>
      <x:c r="O28" s="2"/>
      <x:c r="P28" s="2"/>
      <x:c r="Q28" s="2"/>
      <x:c r="R28" s="2"/>
    </x:row>
    <x:row r="29" ht="20" hidden="0" customHeight="1">
      <x:c r="A29" s="90"/>
      <x:c r="B29" s="90"/>
      <x:c r="C29" s="90"/>
      <x:c r="D29" s="90"/>
      <x:c r="E29" s="90"/>
      <x:c r="F29" s="90"/>
      <x:c r="G29" s="90"/>
      <x:c r="H29" s="90"/>
      <x:c r="I29" s="90"/>
      <x:c r="J29" s="90"/>
      <x:c r="K29" s="2"/>
      <x:c r="L29" s="2"/>
      <x:c r="M29" s="2"/>
      <x:c r="N29" s="2"/>
      <x:c r="O29" s="2"/>
      <x:c r="P29" s="2"/>
      <x:c r="Q29" s="2"/>
      <x:c r="R29" s="2"/>
    </x:row>
    <x:row r="30" ht="20" hidden="0" customHeight="1">
      <x:c r="A30" s="90"/>
      <x:c r="B30" s="90"/>
      <x:c r="C30" s="90"/>
      <x:c r="D30" s="90"/>
      <x:c r="E30" s="90"/>
      <x:c r="F30" s="90"/>
      <x:c r="G30" s="90"/>
      <x:c r="H30" s="90"/>
      <x:c r="I30" s="90"/>
      <x:c r="J30" s="90"/>
      <x:c r="K30" s="2"/>
      <x:c r="L30" s="2"/>
      <x:c r="M30" s="2"/>
      <x:c r="N30" s="2"/>
      <x:c r="O30" s="2"/>
      <x:c r="P30" s="2"/>
      <x:c r="Q30" s="2"/>
      <x:c r="R30" s="2"/>
    </x:row>
    <x:row r="31" ht="20" hidden="0" customHeight="1">
      <x:c r="A31" s="90"/>
      <x:c r="B31" s="90"/>
      <x:c r="C31" s="90"/>
      <x:c r="D31" s="90"/>
      <x:c r="E31" s="90"/>
      <x:c r="F31" s="90"/>
      <x:c r="G31" s="90"/>
      <x:c r="H31" s="90"/>
      <x:c r="I31" s="90"/>
      <x:c r="J31" s="90"/>
      <x:c r="K31" s="2"/>
      <x:c r="L31" s="2"/>
      <x:c r="M31" s="2"/>
      <x:c r="N31" s="2"/>
      <x:c r="O31" s="2"/>
      <x:c r="P31" s="2"/>
      <x:c r="Q31" s="2"/>
      <x:c r="R31" s="2"/>
    </x:row>
    <x:row r="32" ht="20" hidden="0" customHeight="1">
      <x:c r="A32" s="90"/>
      <x:c r="B32" s="90"/>
      <x:c r="C32" s="90"/>
      <x:c r="D32" s="90"/>
      <x:c r="E32" s="90"/>
      <x:c r="F32" s="90"/>
      <x:c r="G32" s="90"/>
      <x:c r="H32" s="90"/>
      <x:c r="I32" s="90"/>
      <x:c r="J32" s="90"/>
      <x:c r="K32" s="2"/>
      <x:c r="L32" s="2"/>
      <x:c r="M32" s="2"/>
      <x:c r="N32" s="2"/>
      <x:c r="O32" s="2"/>
      <x:c r="P32" s="2"/>
      <x:c r="Q32" s="2"/>
      <x:c r="R32" s="2"/>
    </x:row>
    <x:row r="33" ht="20" hidden="0" customHeight="1">
      <x:c r="A33" s="90"/>
      <x:c r="B33" s="90"/>
      <x:c r="C33" s="90"/>
      <x:c r="D33" s="90"/>
      <x:c r="E33" s="90"/>
      <x:c r="F33" s="90"/>
      <x:c r="G33" s="90"/>
      <x:c r="H33" s="90"/>
      <x:c r="I33" s="90"/>
      <x:c r="J33" s="90"/>
      <x:c r="K33" s="2"/>
      <x:c r="L33" s="2"/>
      <x:c r="M33" s="2"/>
      <x:c r="N33" s="2"/>
      <x:c r="O33" s="2"/>
      <x:c r="P33" s="2"/>
      <x:c r="Q33" s="2"/>
      <x:c r="R33" s="2"/>
    </x:row>
    <x:row r="34" ht="20" hidden="0" customHeight="1">
      <x:c r="A34" s="90"/>
      <x:c r="B34" s="90"/>
      <x:c r="C34" s="90"/>
      <x:c r="D34" s="90"/>
      <x:c r="E34" s="90"/>
      <x:c r="F34" s="90"/>
      <x:c r="G34" s="90"/>
      <x:c r="H34" s="90"/>
      <x:c r="I34" s="90"/>
      <x:c r="J34" s="90"/>
      <x:c r="K34" s="2"/>
      <x:c r="L34" s="2"/>
      <x:c r="M34" s="2"/>
      <x:c r="N34" s="2"/>
      <x:c r="O34" s="2"/>
      <x:c r="P34" s="2"/>
      <x:c r="Q34" s="2"/>
      <x:c r="R34" s="2"/>
    </x:row>
    <x:row r="35" ht="20" hidden="0" customHeight="1">
      <x:c r="A35" s="90"/>
      <x:c r="B35" s="90"/>
      <x:c r="C35" s="90"/>
      <x:c r="D35" s="90"/>
      <x:c r="E35" s="90"/>
      <x:c r="F35" s="90"/>
      <x:c r="G35" s="90"/>
      <x:c r="H35" s="90"/>
      <x:c r="I35" s="90"/>
      <x:c r="J35" s="90"/>
      <x:c r="K35" s="2"/>
      <x:c r="L35" s="2"/>
      <x:c r="M35" s="2"/>
      <x:c r="N35" s="2"/>
      <x:c r="O35" s="2"/>
      <x:c r="P35" s="2"/>
      <x:c r="Q35" s="2"/>
      <x:c r="R35" s="2"/>
    </x:row>
    <x:row r="36" ht="20" hidden="0" customHeight="1">
      <x:c r="A36" s="90"/>
      <x:c r="B36" s="158" t="str">
        <x:v>The company’s Adjusted EBITDA already reflects the physician earnings allocation. The DCF translates that into cash available after physician distributions, reinvestment and recurring costs. The consolidated peer method uses a separate NCI valuation assumption.</x:v>
      </x:c>
      <x:c r="C36" s="158"/>
      <x:c r="D36" s="158"/>
      <x:c r="E36" s="158"/>
      <x:c r="F36" s="118"/>
      <x:c r="G36" s="118"/>
      <x:c r="H36" s="118"/>
      <x:c r="I36" s="118"/>
      <x:c r="J36" s="118"/>
      <x:c r="K36" s="2"/>
      <x:c r="L36" s="2"/>
      <x:c r="M36" s="2"/>
      <x:c r="N36" s="2"/>
      <x:c r="O36" s="2"/>
      <x:c r="P36" s="2"/>
      <x:c r="Q36" s="2"/>
      <x:c r="R36" s="2"/>
    </x:row>
    <x:row r="37" ht="20" hidden="0" customHeight="1">
      <x:c r="A37" s="90"/>
      <x:c r="B37" s="158"/>
      <x:c r="C37" s="158"/>
      <x:c r="D37" s="158"/>
      <x:c r="E37" s="158"/>
      <x:c r="F37" s="118"/>
      <x:c r="G37" s="118"/>
      <x:c r="H37" s="118"/>
      <x:c r="I37" s="118"/>
      <x:c r="J37" s="118"/>
      <x:c r="K37" s="2"/>
      <x:c r="L37" s="2"/>
      <x:c r="M37" s="2"/>
      <x:c r="N37" s="2"/>
      <x:c r="O37" s="2"/>
      <x:c r="P37" s="2"/>
      <x:c r="Q37" s="2"/>
      <x:c r="R37" s="2"/>
    </x:row>
    <x:row r="38" ht="20" hidden="0" customHeight="1">
      <x:c r="A38" s="90"/>
      <x:c r="B38" s="158"/>
      <x:c r="C38" s="158"/>
      <x:c r="D38" s="158"/>
      <x:c r="E38" s="158"/>
      <x:c r="F38" s="118"/>
      <x:c r="G38" s="118"/>
      <x:c r="H38" s="118"/>
      <x:c r="I38" s="118"/>
      <x:c r="J38" s="118"/>
      <x:c r="K38" s="2"/>
      <x:c r="L38" s="2"/>
      <x:c r="M38" s="2"/>
      <x:c r="N38" s="2"/>
      <x:c r="O38" s="2"/>
      <x:c r="P38" s="2"/>
      <x:c r="Q38" s="2"/>
      <x:c r="R38" s="2"/>
    </x:row>
    <x:row r="39" ht="20" hidden="0" customHeight="1">
      <x:c r="A39" s="90"/>
      <x:c r="B39" s="158"/>
      <x:c r="C39" s="158"/>
      <x:c r="D39" s="158"/>
      <x:c r="E39" s="158"/>
      <x:c r="F39" s="118"/>
      <x:c r="G39" s="118"/>
      <x:c r="H39" s="118"/>
      <x:c r="I39" s="118"/>
      <x:c r="J39" s="118"/>
      <x:c r="K39" s="2"/>
      <x:c r="L39" s="2"/>
      <x:c r="M39" s="2"/>
      <x:c r="N39" s="2"/>
      <x:c r="O39" s="2"/>
      <x:c r="P39" s="2"/>
      <x:c r="Q39" s="2"/>
      <x:c r="R39" s="2"/>
    </x:row>
    <x:row r="40" ht="20" hidden="0" customHeight="1">
      <x:c r="A40" s="90"/>
      <x:c r="B40" s="166"/>
      <x:c r="C40" s="166"/>
      <x:c r="D40" s="166"/>
      <x:c r="E40" s="166"/>
      <x:c r="F40" s="90"/>
      <x:c r="G40" s="90"/>
      <x:c r="H40" s="90"/>
      <x:c r="I40" s="90"/>
      <x:c r="J40" s="90"/>
      <x:c r="K40" s="2"/>
      <x:c r="L40" s="2"/>
      <x:c r="M40" s="2"/>
      <x:c r="N40" s="2"/>
      <x:c r="O40" s="2"/>
      <x:c r="P40" s="2"/>
      <x:c r="Q40" s="2"/>
      <x:c r="R40" s="2"/>
    </x:row>
    <x:row r="41" ht="20" hidden="0" customHeight="1">
      <x:c r="A41" s="90"/>
      <x:c r="B41" s="166"/>
      <x:c r="C41" s="166"/>
      <x:c r="D41" s="166"/>
      <x:c r="E41" s="166"/>
      <x:c r="F41" s="90"/>
      <x:c r="G41" s="90"/>
      <x:c r="H41" s="90"/>
      <x:c r="I41" s="90"/>
      <x:c r="J41" s="90"/>
      <x:c r="K41" s="2"/>
      <x:c r="L41" s="2"/>
      <x:c r="M41" s="2"/>
      <x:c r="N41" s="2"/>
      <x:c r="O41" s="2"/>
      <x:c r="P41" s="2"/>
      <x:c r="Q41" s="2"/>
      <x:c r="R41" s="2"/>
    </x:row>
    <x:row r="42" ht="20" hidden="0" customHeight="1">
      <x:c r="A42" s="90"/>
      <x:c r="B42" s="166" t="str">
        <x:v>The buyer ceiling is the price supported by standalone cash flow at the stated financing and return assumptions. Keep the offer below that ceiling; do not pay the seller for synergies the buyer still has to create. Test declining volumes and tighter margins together.</x:v>
      </x:c>
      <x:c r="C42" s="166"/>
      <x:c r="D42" s="166"/>
      <x:c r="E42" s="166"/>
      <x:c r="F42" s="118"/>
      <x:c r="G42" s="118"/>
      <x:c r="H42" s="118"/>
      <x:c r="I42" s="118"/>
      <x:c r="J42" s="118"/>
      <x:c r="K42" s="2"/>
      <x:c r="L42" s="2"/>
      <x:c r="M42" s="2"/>
      <x:c r="N42" s="2"/>
      <x:c r="O42" s="2"/>
      <x:c r="P42" s="2"/>
      <x:c r="Q42" s="2"/>
      <x:c r="R42" s="2"/>
    </x:row>
    <x:row r="43" ht="20" hidden="0" customHeight="1">
      <x:c r="A43" s="90"/>
      <x:c r="B43" s="166"/>
      <x:c r="C43" s="166"/>
      <x:c r="D43" s="166"/>
      <x:c r="E43" s="166"/>
      <x:c r="F43" s="118"/>
      <x:c r="G43" s="118"/>
      <x:c r="H43" s="118"/>
      <x:c r="I43" s="118"/>
      <x:c r="J43" s="118"/>
      <x:c r="K43" s="2"/>
      <x:c r="L43" s="2"/>
      <x:c r="M43" s="2"/>
      <x:c r="N43" s="2"/>
      <x:c r="O43" s="2"/>
      <x:c r="P43" s="2"/>
      <x:c r="Q43" s="2"/>
      <x:c r="R43" s="2"/>
    </x:row>
    <x:row r="44" ht="20" hidden="0" customHeight="1">
      <x:c r="A44" s="90"/>
      <x:c r="B44" s="118"/>
      <x:c r="C44" s="118"/>
      <x:c r="D44" s="118"/>
      <x:c r="E44" s="118"/>
      <x:c r="F44" s="118"/>
      <x:c r="G44" s="118"/>
      <x:c r="H44" s="118"/>
      <x:c r="I44" s="118"/>
      <x:c r="J44" s="118"/>
      <x:c r="K44" s="2"/>
      <x:c r="L44" s="2"/>
      <x:c r="M44" s="2"/>
      <x:c r="N44" s="2"/>
      <x:c r="O44" s="2"/>
      <x:c r="P44" s="2"/>
      <x:c r="Q44" s="2"/>
      <x:c r="R44" s="2"/>
    </x:row>
    <x:row r="45" ht="20" hidden="0" customHeight="1">
      <x:c r="A45" s="90"/>
      <x:c r="B45" s="118"/>
      <x:c r="C45" s="118"/>
      <x:c r="D45" s="118"/>
      <x:c r="E45" s="118"/>
      <x:c r="F45" s="118"/>
      <x:c r="G45" s="118"/>
      <x:c r="H45" s="118"/>
      <x:c r="I45" s="118"/>
      <x:c r="J45" s="118"/>
      <x:c r="K45" s="2"/>
      <x:c r="L45" s="2"/>
      <x:c r="M45" s="2"/>
      <x:c r="N45" s="2"/>
      <x:c r="O45" s="2"/>
      <x:c r="P45" s="2"/>
      <x:c r="Q45" s="2"/>
      <x:c r="R45" s="2"/>
    </x:row>
    <x:row r="46" ht="20" hidden="0" customHeight="1">
      <x:c r="A46" s="90"/>
      <x:c r="B46" s="90"/>
      <x:c r="C46" s="90"/>
      <x:c r="D46" s="90"/>
      <x:c r="E46" s="90"/>
      <x:c r="F46" s="90"/>
      <x:c r="G46" s="90"/>
      <x:c r="H46" s="90"/>
      <x:c r="I46" s="90"/>
      <x:c r="J46" s="90"/>
      <x:c r="K46" s="2"/>
      <x:c r="L46" s="2"/>
      <x:c r="M46" s="2"/>
      <x:c r="N46" s="2"/>
      <x:c r="O46" s="2"/>
      <x:c r="P46" s="2"/>
      <x:c r="Q46" s="2"/>
      <x:c r="R46" s="2"/>
    </x:row>
    <x:row r="47" ht="20" hidden="0" customHeight="1">
      <x:c r="A47" s="90"/>
      <x:c r="B47" s="90"/>
      <x:c r="C47" s="90"/>
      <x:c r="D47" s="90"/>
      <x:c r="E47" s="90"/>
      <x:c r="F47" s="90"/>
      <x:c r="G47" s="90"/>
      <x:c r="H47" s="90"/>
      <x:c r="I47" s="90"/>
      <x:c r="J47" s="90"/>
      <x:c r="K47" s="2"/>
      <x:c r="L47" s="2"/>
      <x:c r="M47" s="2"/>
      <x:c r="N47" s="2"/>
      <x:c r="O47" s="2"/>
      <x:c r="P47" s="2"/>
      <x:c r="Q47" s="2"/>
      <x:c r="R47" s="2"/>
    </x:row>
    <x:row r="48" ht="20" hidden="0" customHeight="1">
      <x:c r="A48" s="90"/>
      <x:c r="B48" s="90" t="str">
        <x:v>Operating liquidity</x:v>
      </x:c>
      <x:c r="C48" s="288" t="str">
        <x:f>'Checks'!G27</x:f>
        <x:v>PASS</x:v>
      </x:c>
      <x:c r="D48" s="90"/>
      <x:c r="E48" s="90"/>
      <x:c r="F48" s="90"/>
      <x:c r="G48" s="90"/>
      <x:c r="H48" s="90"/>
      <x:c r="I48" s="90"/>
      <x:c r="J48" s="90"/>
      <x:c r="K48" s="2"/>
      <x:c r="L48" s="2"/>
      <x:c r="M48" s="2"/>
      <x:c r="N48" s="2"/>
      <x:c r="O48" s="2"/>
      <x:c r="P48" s="2"/>
      <x:c r="Q48" s="2"/>
      <x:c r="R48" s="2"/>
    </x:row>
    <x:row r="49" ht="20" hidden="0" customHeight="1">
      <x:c r="A49" s="90"/>
      <x:c r="B49" s="90" t="str">
        <x:v>Buyer financing</x:v>
      </x:c>
      <x:c r="C49" s="288" t="str">
        <x:f>'Checks'!G28</x:f>
        <x:v>PASS</x:v>
      </x:c>
      <x:c r="D49" s="90"/>
      <x:c r="E49" s="90"/>
      <x:c r="F49" s="90"/>
      <x:c r="G49" s="90"/>
      <x:c r="H49" s="90"/>
      <x:c r="I49" s="90"/>
      <x:c r="J49" s="90"/>
      <x:c r="K49" s="2"/>
      <x:c r="L49" s="2"/>
      <x:c r="M49" s="2"/>
      <x:c r="N49" s="2"/>
      <x:c r="O49" s="2"/>
      <x:c r="P49" s="2"/>
      <x:c r="Q49" s="2"/>
      <x:c r="R49" s="2"/>
    </x:row>
    <x:row r="50" ht="20" hidden="0" customHeight="1">
      <x:c r="A50" s="90"/>
      <x:c r="B50" s="90"/>
      <x:c r="C50" s="90"/>
      <x:c r="D50" s="90"/>
      <x:c r="E50" s="90"/>
      <x:c r="F50" s="90"/>
      <x:c r="G50" s="90"/>
      <x:c r="H50" s="90"/>
      <x:c r="I50" s="90"/>
      <x:c r="J50" s="90"/>
      <x:c r="K50" s="2"/>
      <x:c r="L50" s="2"/>
      <x:c r="M50" s="2"/>
      <x:c r="N50" s="2"/>
      <x:c r="O50" s="2"/>
      <x:c r="P50" s="2"/>
      <x:c r="Q50" s="2"/>
      <x:c r="R50" s="2"/>
    </x:row>
    <x:row r="51" ht="20" hidden="0" customHeight="1">
      <x:c r="A51" s="90"/>
      <x:c r="B51" s="90"/>
      <x:c r="C51" s="90"/>
      <x:c r="D51" s="90"/>
      <x:c r="E51" s="90"/>
      <x:c r="F51" s="90"/>
      <x:c r="G51" s="90"/>
      <x:c r="H51" s="90"/>
      <x:c r="I51" s="90"/>
      <x:c r="J51" s="90"/>
      <x:c r="K51" s="2"/>
      <x:c r="L51" s="2"/>
      <x:c r="M51" s="2"/>
      <x:c r="N51" s="2"/>
      <x:c r="O51" s="2"/>
      <x:c r="P51" s="2"/>
      <x:c r="Q51" s="2"/>
      <x:c r="R51" s="2"/>
    </x:row>
    <x:row r="52" ht="20" hidden="0" customHeight="1">
      <x:c r="A52" s="90"/>
      <x:c r="B52" s="90"/>
      <x:c r="C52" s="90"/>
      <x:c r="D52" s="90"/>
      <x:c r="E52" s="90"/>
      <x:c r="F52" s="90"/>
      <x:c r="G52" s="90"/>
      <x:c r="H52" s="90"/>
      <x:c r="I52" s="90"/>
      <x:c r="J52" s="90"/>
      <x:c r="K52" s="2"/>
      <x:c r="L52" s="2"/>
      <x:c r="M52" s="2"/>
      <x:c r="N52" s="2"/>
      <x:c r="O52" s="2"/>
      <x:c r="P52" s="2"/>
      <x:c r="Q52" s="2"/>
      <x:c r="R52" s="2"/>
    </x:row>
    <x:row r="53" ht="20" hidden="0" customHeight="1">
      <x:c r="A53" s="90"/>
      <x:c r="B53" s="90"/>
      <x:c r="C53" s="90"/>
      <x:c r="D53" s="90"/>
      <x:c r="E53" s="90"/>
      <x:c r="F53" s="90"/>
      <x:c r="G53" s="90"/>
      <x:c r="H53" s="90"/>
      <x:c r="I53" s="90"/>
      <x:c r="J53" s="90"/>
      <x:c r="K53" s="2"/>
      <x:c r="L53" s="2"/>
      <x:c r="M53" s="2"/>
      <x:c r="N53" s="2"/>
      <x:c r="O53" s="2"/>
      <x:c r="P53" s="2"/>
      <x:c r="Q53" s="2"/>
      <x:c r="R53" s="2"/>
    </x:row>
    <x:row r="54" ht="20" hidden="0" customHeight="1">
      <x:c r="A54" s="90"/>
      <x:c r="B54" s="90"/>
      <x:c r="C54" s="90"/>
      <x:c r="D54" s="90"/>
      <x:c r="E54" s="90"/>
      <x:c r="F54" s="90"/>
      <x:c r="G54" s="90"/>
      <x:c r="H54" s="90"/>
      <x:c r="I54" s="90"/>
      <x:c r="J54" s="90"/>
      <x:c r="K54" s="2"/>
      <x:c r="L54" s="2"/>
      <x:c r="M54" s="2"/>
      <x:c r="N54" s="2"/>
      <x:c r="O54" s="2"/>
      <x:c r="P54" s="2"/>
      <x:c r="Q54" s="2"/>
      <x:c r="R54" s="2"/>
    </x:row>
    <x:row r="55" ht="20" hidden="0" customHeight="1">
      <x:c r="A55" s="90"/>
      <x:c r="B55" s="90"/>
      <x:c r="C55" s="90"/>
      <x:c r="D55" s="90"/>
      <x:c r="E55" s="90"/>
      <x:c r="F55" s="90"/>
      <x:c r="G55" s="90"/>
      <x:c r="H55" s="90"/>
      <x:c r="I55" s="90"/>
      <x:c r="J55" s="90"/>
      <x:c r="K55" s="2"/>
      <x:c r="L55" s="2"/>
      <x:c r="M55" s="2"/>
      <x:c r="N55" s="2"/>
      <x:c r="O55" s="2"/>
      <x:c r="P55" s="2"/>
      <x:c r="Q55" s="2"/>
      <x:c r="R55" s="2"/>
    </x:row>
    <x:row r="56" ht="20" hidden="0" customHeight="1">
      <x:c r="A56" s="90"/>
      <x:c r="B56" s="90"/>
      <x:c r="C56" s="90"/>
      <x:c r="D56" s="90"/>
      <x:c r="E56" s="90"/>
      <x:c r="F56" s="90"/>
      <x:c r="G56" s="90"/>
      <x:c r="H56" s="90"/>
      <x:c r="I56" s="90"/>
      <x:c r="J56" s="90"/>
      <x:c r="K56" s="2"/>
      <x:c r="L56" s="2"/>
      <x:c r="M56" s="2"/>
      <x:c r="N56" s="2"/>
      <x:c r="O56" s="2"/>
      <x:c r="P56" s="2"/>
      <x:c r="Q56" s="2"/>
      <x:c r="R56" s="2"/>
    </x:row>
    <x:row r="57" ht="20" hidden="0" customHeight="1">
      <x:c r="A57" s="90"/>
      <x:c r="B57" s="90"/>
      <x:c r="C57" s="90"/>
      <x:c r="D57" s="90"/>
      <x:c r="E57" s="90"/>
      <x:c r="F57" s="90"/>
      <x:c r="G57" s="90"/>
      <x:c r="H57" s="90"/>
      <x:c r="I57" s="90"/>
      <x:c r="J57" s="90"/>
      <x:c r="K57" s="2"/>
      <x:c r="L57" s="2"/>
      <x:c r="M57" s="2"/>
      <x:c r="N57" s="2"/>
      <x:c r="O57" s="2"/>
      <x:c r="P57" s="2"/>
      <x:c r="Q57" s="2"/>
      <x:c r="R57" s="2"/>
    </x:row>
    <x:row r="58" ht="15" hidden="0">
      <x:c r="A58" s="2"/>
      <x:c r="B58" s="2"/>
      <x:c r="C58" s="2"/>
      <x:c r="D58" s="2"/>
      <x:c r="E58" s="2"/>
      <x:c r="F58" s="2"/>
      <x:c r="G58" s="2"/>
      <x:c r="H58" s="2"/>
      <x:c r="I58" s="2"/>
      <x:c r="J58" s="2"/>
      <x:c r="K58" s="2"/>
      <x:c r="L58" s="2"/>
      <x:c r="M58" s="2"/>
      <x:c r="N58" s="2"/>
      <x:c r="O58" s="2"/>
      <x:c r="P58" s="2"/>
      <x:c r="Q58" s="2"/>
      <x:c r="R58" s="2"/>
    </x:row>
    <x:row r="59" ht="15" hidden="0">
      <x:c r="A59" s="2"/>
      <x:c r="B59" s="2"/>
      <x:c r="C59" s="2"/>
      <x:c r="D59" s="2"/>
      <x:c r="E59" s="2"/>
      <x:c r="F59" s="2"/>
      <x:c r="G59" s="2"/>
      <x:c r="H59" s="2"/>
      <x:c r="I59" s="2"/>
      <x:c r="J59" s="2"/>
      <x:c r="K59" s="2"/>
      <x:c r="L59" s="2"/>
      <x:c r="M59" s="2"/>
      <x:c r="N59" s="2"/>
      <x:c r="O59" s="2"/>
      <x:c r="P59" s="2"/>
      <x:c r="Q59" s="2"/>
      <x:c r="R59" s="2"/>
    </x:row>
    <x:row r="60" ht="15" hidden="0">
      <x:c r="A60" s="2"/>
      <x:c r="B60" s="2"/>
      <x:c r="C60" s="2"/>
      <x:c r="D60" s="2"/>
      <x:c r="E60" s="2"/>
      <x:c r="F60" s="2"/>
      <x:c r="G60" s="2"/>
      <x:c r="H60" s="2"/>
      <x:c r="I60" s="2"/>
      <x:c r="J60" s="2"/>
      <x:c r="K60" s="2"/>
      <x:c r="L60" s="2"/>
      <x:c r="M60" s="2"/>
      <x:c r="N60" s="2"/>
      <x:c r="O60" s="2"/>
      <x:c r="P60" s="2"/>
      <x:c r="Q60" s="2"/>
      <x:c r="R60" s="2"/>
    </x:row>
    <x:row r="61" ht="15" hidden="0">
      <x:c r="A61" s="2"/>
      <x:c r="B61" s="2"/>
      <x:c r="C61" s="2"/>
      <x:c r="D61" s="2"/>
      <x:c r="E61" s="2"/>
      <x:c r="F61" s="2"/>
      <x:c r="G61" s="2"/>
      <x:c r="H61" s="2"/>
      <x:c r="I61" s="2"/>
      <x:c r="J61" s="2"/>
      <x:c r="K61" s="2"/>
      <x:c r="L61" s="2"/>
      <x:c r="M61" s="2"/>
      <x:c r="N61" s="2"/>
      <x:c r="O61" s="2"/>
      <x:c r="P61" s="2"/>
      <x:c r="Q61" s="2"/>
      <x:c r="R61" s="2"/>
    </x:row>
    <x:row r="62" ht="15" hidden="0">
      <x:c r="A62" s="2"/>
      <x:c r="B62" s="2"/>
      <x:c r="C62" s="2"/>
      <x:c r="D62" s="2"/>
      <x:c r="E62" s="2"/>
      <x:c r="F62" s="2"/>
      <x:c r="G62" s="2"/>
      <x:c r="H62" s="2"/>
      <x:c r="I62" s="2"/>
      <x:c r="J62" s="2"/>
      <x:c r="K62" s="2"/>
      <x:c r="L62" s="2"/>
      <x:c r="M62" s="2"/>
      <x:c r="N62" s="2"/>
      <x:c r="O62" s="2"/>
      <x:c r="P62" s="2"/>
      <x:c r="Q62" s="2"/>
      <x:c r="R62" s="2"/>
    </x:row>
    <x:row r="63" ht="15" hidden="0">
      <x:c r="A63" s="2"/>
      <x:c r="B63" s="2"/>
      <x:c r="C63" s="2"/>
      <x:c r="D63" s="2"/>
      <x:c r="E63" s="2"/>
      <x:c r="F63" s="2"/>
      <x:c r="G63" s="2"/>
      <x:c r="H63" s="2"/>
      <x:c r="I63" s="2"/>
      <x:c r="J63" s="2"/>
      <x:c r="K63" s="2"/>
      <x:c r="L63" s="2"/>
      <x:c r="M63" s="2"/>
      <x:c r="N63" s="2"/>
      <x:c r="O63" s="2"/>
      <x:c r="P63" s="2"/>
      <x:c r="Q63" s="2"/>
      <x:c r="R63" s="2"/>
    </x:row>
    <x:row r="64" ht="15" hidden="0">
      <x:c r="A64" s="2"/>
      <x:c r="B64" s="2"/>
      <x:c r="C64" s="2"/>
      <x:c r="D64" s="2"/>
      <x:c r="E64" s="2"/>
      <x:c r="F64" s="2"/>
      <x:c r="G64" s="2"/>
      <x:c r="H64" s="2"/>
      <x:c r="I64" s="2"/>
      <x:c r="J64" s="2"/>
      <x:c r="K64" s="2"/>
      <x:c r="L64" s="2"/>
      <x:c r="M64" s="2"/>
      <x:c r="N64" s="2"/>
      <x:c r="O64" s="2"/>
      <x:c r="P64" s="2"/>
      <x:c r="Q64" s="2"/>
      <x:c r="R64" s="2"/>
    </x:row>
    <x:row r="65" ht="15" hidden="0">
      <x:c r="A65" s="2"/>
      <x:c r="B65" s="2"/>
      <x:c r="C65" s="2"/>
      <x:c r="D65" s="2"/>
      <x:c r="E65" s="2"/>
      <x:c r="F65" s="2"/>
      <x:c r="G65" s="2"/>
      <x:c r="H65" s="2"/>
      <x:c r="I65" s="2"/>
      <x:c r="J65" s="2"/>
      <x:c r="K65" s="2"/>
      <x:c r="L65" s="2"/>
      <x:c r="M65" s="2"/>
      <x:c r="N65" s="2"/>
      <x:c r="O65" s="2"/>
      <x:c r="P65" s="2"/>
      <x:c r="Q65" s="2"/>
      <x:c r="R65" s="2"/>
    </x:row>
    <x:row r="66" ht="15" hidden="0">
      <x:c r="A66" s="2"/>
      <x:c r="B66" s="2"/>
      <x:c r="C66" s="2"/>
      <x:c r="D66" s="2"/>
      <x:c r="E66" s="2"/>
      <x:c r="F66" s="2"/>
      <x:c r="G66" s="2"/>
      <x:c r="H66" s="2"/>
      <x:c r="I66" s="2"/>
      <x:c r="J66" s="2"/>
      <x:c r="K66" s="2"/>
      <x:c r="L66" s="2"/>
      <x:c r="M66" s="2"/>
      <x:c r="N66" s="2"/>
      <x:c r="O66" s="2"/>
      <x:c r="P66" s="2"/>
      <x:c r="Q66" s="2"/>
      <x:c r="R66" s="2"/>
    </x:row>
    <x:row r="67" ht="15" hidden="0">
      <x:c r="A67" s="2"/>
      <x:c r="B67" s="2"/>
      <x:c r="C67" s="2"/>
      <x:c r="D67" s="2"/>
      <x:c r="E67" s="2"/>
      <x:c r="F67" s="2"/>
      <x:c r="G67" s="2"/>
      <x:c r="H67" s="2"/>
      <x:c r="I67" s="2"/>
      <x:c r="J67" s="2"/>
      <x:c r="K67" s="2"/>
      <x:c r="L67" s="2"/>
      <x:c r="M67" s="2"/>
      <x:c r="N67" s="2"/>
      <x:c r="O67" s="2"/>
      <x:c r="P67" s="2"/>
      <x:c r="Q67" s="2"/>
      <x:c r="R67" s="2"/>
    </x:row>
    <x:row r="68" ht="15" hidden="0">
      <x:c r="A68" s="2"/>
      <x:c r="B68" s="2"/>
      <x:c r="C68" s="2"/>
      <x:c r="D68" s="2"/>
      <x:c r="E68" s="2"/>
      <x:c r="F68" s="2"/>
      <x:c r="G68" s="2"/>
      <x:c r="H68" s="2"/>
      <x:c r="I68" s="2"/>
      <x:c r="J68" s="2"/>
      <x:c r="K68" s="2"/>
      <x:c r="L68" s="2"/>
      <x:c r="M68" s="2"/>
      <x:c r="N68" s="2"/>
      <x:c r="O68" s="2"/>
      <x:c r="P68" s="2"/>
      <x:c r="Q68" s="2"/>
      <x:c r="R68" s="2"/>
    </x:row>
    <x:row r="69" ht="15" hidden="0">
      <x:c r="A69" s="2"/>
      <x:c r="B69" s="2"/>
      <x:c r="C69" s="2"/>
      <x:c r="D69" s="2"/>
      <x:c r="E69" s="2"/>
      <x:c r="F69" s="2"/>
      <x:c r="G69" s="2"/>
      <x:c r="H69" s="2"/>
      <x:c r="I69" s="2"/>
      <x:c r="J69" s="2"/>
      <x:c r="K69" s="2"/>
      <x:c r="L69" s="2"/>
      <x:c r="M69" s="2"/>
      <x:c r="N69" s="2"/>
      <x:c r="O69" s="2"/>
      <x:c r="P69" s="2"/>
      <x:c r="Q69" s="2"/>
      <x:c r="R69" s="2"/>
    </x:row>
    <x:row r="70" ht="15" hidden="0">
      <x:c r="A70" s="2"/>
      <x:c r="B70" s="2"/>
      <x:c r="C70" s="2"/>
      <x:c r="D70" s="2"/>
      <x:c r="E70" s="2"/>
      <x:c r="F70" s="2"/>
      <x:c r="G70" s="2"/>
      <x:c r="H70" s="2"/>
      <x:c r="I70" s="2"/>
      <x:c r="J70" s="2"/>
      <x:c r="K70" s="2"/>
      <x:c r="L70" s="2"/>
      <x:c r="M70" s="2"/>
      <x:c r="N70" s="2"/>
      <x:c r="O70" s="2"/>
      <x:c r="P70" s="2"/>
      <x:c r="Q70" s="2"/>
      <x:c r="R70" s="2"/>
    </x:row>
    <x:row r="71" ht="15" hidden="0">
      <x:c r="A71" s="2"/>
      <x:c r="B71" s="2"/>
      <x:c r="C71" s="2"/>
      <x:c r="D71" s="2"/>
      <x:c r="E71" s="2"/>
      <x:c r="F71" s="2"/>
      <x:c r="G71" s="2"/>
      <x:c r="H71" s="2"/>
      <x:c r="I71" s="2"/>
      <x:c r="J71" s="2"/>
      <x:c r="K71" s="2"/>
      <x:c r="L71" s="2"/>
      <x:c r="M71" s="2"/>
      <x:c r="N71" s="2"/>
      <x:c r="O71" s="2"/>
      <x:c r="P71" s="2"/>
      <x:c r="Q71" s="2"/>
      <x:c r="R71" s="2"/>
    </x:row>
    <x:row r="72" ht="15" hidden="0">
      <x:c r="A72" s="2"/>
      <x:c r="B72" s="2"/>
      <x:c r="C72" s="2"/>
      <x:c r="D72" s="2"/>
      <x:c r="E72" s="2"/>
      <x:c r="F72" s="2"/>
      <x:c r="G72" s="2"/>
      <x:c r="H72" s="2"/>
      <x:c r="I72" s="2"/>
      <x:c r="J72" s="2"/>
      <x:c r="K72" s="2"/>
      <x:c r="L72" s="2"/>
      <x:c r="M72" s="2"/>
      <x:c r="N72" s="2"/>
      <x:c r="O72" s="2"/>
      <x:c r="P72" s="2"/>
      <x:c r="Q72" s="2"/>
      <x:c r="R72" s="2"/>
    </x:row>
    <x:row r="73" ht="15" hidden="0">
      <x:c r="A73" s="2"/>
      <x:c r="B73" s="2"/>
      <x:c r="C73" s="2"/>
      <x:c r="D73" s="2"/>
      <x:c r="E73" s="2"/>
      <x:c r="F73" s="2"/>
      <x:c r="G73" s="2"/>
      <x:c r="H73" s="2"/>
      <x:c r="I73" s="2"/>
      <x:c r="J73" s="2"/>
      <x:c r="K73" s="2"/>
      <x:c r="L73" s="2"/>
      <x:c r="M73" s="2"/>
      <x:c r="N73" s="2"/>
      <x:c r="O73" s="2"/>
      <x:c r="P73" s="2"/>
      <x:c r="Q73" s="2"/>
      <x:c r="R73" s="2"/>
    </x:row>
    <x:row r="74" ht="15" hidden="0">
      <x:c r="A74" s="2"/>
      <x:c r="B74" s="2"/>
      <x:c r="C74" s="2"/>
      <x:c r="D74" s="2"/>
      <x:c r="E74" s="2"/>
      <x:c r="F74" s="2"/>
      <x:c r="G74" s="2"/>
      <x:c r="H74" s="2"/>
      <x:c r="I74" s="2"/>
      <x:c r="J74" s="2"/>
      <x:c r="K74" s="2"/>
      <x:c r="L74" s="2"/>
      <x:c r="M74" s="2"/>
      <x:c r="N74" s="2"/>
      <x:c r="O74" s="2"/>
      <x:c r="P74" s="2"/>
      <x:c r="Q74" s="2"/>
      <x:c r="R74" s="2"/>
    </x:row>
    <x:row r="75" ht="15" hidden="0">
      <x:c r="A75" s="2"/>
      <x:c r="B75" s="2"/>
      <x:c r="C75" s="2"/>
      <x:c r="D75" s="2"/>
      <x:c r="E75" s="2"/>
      <x:c r="F75" s="2"/>
      <x:c r="G75" s="2"/>
      <x:c r="H75" s="2"/>
      <x:c r="I75" s="2"/>
      <x:c r="J75" s="2"/>
      <x:c r="K75" s="2"/>
      <x:c r="L75" s="2"/>
      <x:c r="M75" s="2"/>
      <x:c r="N75" s="2"/>
      <x:c r="O75" s="2"/>
      <x:c r="P75" s="2"/>
      <x:c r="Q75" s="2"/>
      <x:c r="R75" s="2"/>
    </x:row>
    <x:row r="76" ht="15" hidden="0">
      <x:c r="A76" s="2"/>
      <x:c r="B76" s="2"/>
      <x:c r="C76" s="2"/>
      <x:c r="D76" s="2"/>
      <x:c r="E76" s="2"/>
      <x:c r="F76" s="2"/>
      <x:c r="G76" s="2"/>
      <x:c r="H76" s="2"/>
      <x:c r="I76" s="2"/>
      <x:c r="J76" s="2"/>
      <x:c r="K76" s="2"/>
      <x:c r="L76" s="2"/>
      <x:c r="M76" s="2"/>
      <x:c r="N76" s="2"/>
      <x:c r="O76" s="2"/>
      <x:c r="P76" s="2"/>
      <x:c r="Q76" s="2"/>
      <x:c r="R76" s="2"/>
    </x:row>
    <x:row r="77" ht="15" hidden="0">
      <x:c r="A77" s="2"/>
      <x:c r="B77" s="2"/>
      <x:c r="C77" s="2"/>
      <x:c r="D77" s="2"/>
      <x:c r="E77" s="2"/>
      <x:c r="F77" s="2"/>
      <x:c r="G77" s="2"/>
      <x:c r="H77" s="2"/>
      <x:c r="I77" s="2"/>
      <x:c r="J77" s="2"/>
      <x:c r="K77" s="2"/>
      <x:c r="L77" s="2"/>
      <x:c r="M77" s="2"/>
      <x:c r="N77" s="2"/>
      <x:c r="O77" s="2"/>
      <x:c r="P77" s="2"/>
      <x:c r="Q77" s="2"/>
      <x:c r="R77" s="2"/>
    </x:row>
    <x:row r="78" ht="15" hidden="0">
      <x:c r="A78" s="2"/>
      <x:c r="B78" s="2"/>
      <x:c r="C78" s="2"/>
      <x:c r="D78" s="2"/>
      <x:c r="E78" s="2"/>
      <x:c r="F78" s="2"/>
      <x:c r="G78" s="2"/>
      <x:c r="H78" s="2"/>
      <x:c r="I78" s="2"/>
      <x:c r="J78" s="2"/>
      <x:c r="K78" s="2"/>
      <x:c r="L78" s="2"/>
      <x:c r="M78" s="2"/>
      <x:c r="N78" s="2"/>
      <x:c r="O78" s="2"/>
      <x:c r="P78" s="2"/>
      <x:c r="Q78" s="2"/>
      <x:c r="R78" s="2"/>
    </x:row>
    <x:row r="79" ht="15" hidden="0">
      <x:c r="A79" s="2"/>
      <x:c r="B79" s="2"/>
      <x:c r="C79" s="2"/>
      <x:c r="D79" s="2"/>
      <x:c r="E79" s="2"/>
      <x:c r="F79" s="2"/>
      <x:c r="G79" s="2"/>
      <x:c r="H79" s="2"/>
      <x:c r="I79" s="2"/>
      <x:c r="J79" s="2"/>
      <x:c r="K79" s="2"/>
      <x:c r="L79" s="2"/>
      <x:c r="M79" s="2"/>
      <x:c r="N79" s="2"/>
      <x:c r="O79" s="2"/>
      <x:c r="P79" s="2"/>
      <x:c r="Q79" s="2"/>
      <x:c r="R79" s="2"/>
    </x:row>
    <x:row r="80" ht="15" hidden="0">
      <x:c r="A80" s="2"/>
      <x:c r="B80" s="2"/>
      <x:c r="C80" s="2"/>
      <x:c r="D80" s="2"/>
      <x:c r="E80" s="2"/>
      <x:c r="F80" s="2"/>
      <x:c r="G80" s="2"/>
      <x:c r="H80" s="2"/>
      <x:c r="I80" s="2"/>
      <x:c r="J80" s="2"/>
      <x:c r="K80" s="2"/>
      <x:c r="L80" s="2"/>
      <x:c r="M80" s="2"/>
      <x:c r="N80" s="2"/>
      <x:c r="O80" s="2"/>
      <x:c r="P80" s="2"/>
      <x:c r="Q80" s="2"/>
      <x:c r="R80" s="2"/>
    </x:row>
  </x:sheetData>
  <x:mergeCells>
    <x:mergeCell ref="A1:J1"/>
    <x:mergeCell ref="B2:J3"/>
    <x:mergeCell ref="B36:J39"/>
    <x:mergeCell ref="B42:J45"/>
  </x:mergeCells>
  <x:pageMargins left="0.7" right="0.7" top="0.75" bottom="0.75" header="0.3" footer="0.3"/>
  <x:drawing xmlns:r="http://schemas.openxmlformats.org/officeDocument/2006/relationships" r:id="R0bd3cc97ef66430c"/>
</x:worksheet>
</file>

<file path=xl/worksheets/sheet3.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6" width="13" hidden="0" customWidth="1"/>
    <x:col min="8" max="8" width="12" hidden="0" customWidth="1"/>
    <x:col min="3" max="3" width="17" hidden="0" customWidth="1"/>
    <x:col min="4" max="4" width="17" hidden="0" customWidth="1"/>
    <x:col min="5" max="5" width="17" hidden="0" customWidth="1"/>
    <x:col min="6" max="6" width="17" hidden="0" customWidth="1"/>
    <x:col min="7" max="7" width="17" hidden="0" customWidth="1"/>
    <x:col min="9" max="9" width="12" hidden="0" customWidth="1"/>
    <x:col min="10" max="10" width="12" hidden="0" customWidth="1"/>
  </x:cols>
  <x:sheetData>
    <x:row r="1" ht="31" hidden="0" customHeight="1">
      <x:c r="A1" s="113" t="str">
        <x:v>SURGERY PARTNERS | ASSUMPTIONS</x:v>
      </x:c>
      <x:c r="B1" s="113"/>
      <x:c r="C1" s="113"/>
      <x:c r="D1" s="113"/>
      <x:c r="E1" s="113"/>
      <x:c r="F1" s="113"/>
      <x:c r="G1" s="113"/>
      <x:c r="H1" s="113"/>
      <x:c r="I1" s="114"/>
      <x:c r="J1" s="114"/>
    </x:row>
    <x:row r="2" ht="20" hidden="0" customHeight="1">
      <x:c r="A2" s="103"/>
      <x:c r="B2" s="117" t="str">
        <x:v>US$ millions, except per-share values. Blue cells are assumptions; green cells link to another worksheet.</x:v>
      </x:c>
      <x:c r="C2" s="117"/>
      <x:c r="D2" s="117"/>
      <x:c r="E2" s="117"/>
      <x:c r="F2" s="117"/>
      <x:c r="G2" s="117"/>
      <x:c r="H2" s="117"/>
      <x:c r="I2" s="118"/>
      <x:c r="J2" s="118"/>
    </x:row>
    <x:row r="3" ht="20" hidden="0" customHeight="1">
      <x:c r="A3" s="90"/>
      <x:c r="B3" s="118"/>
      <x:c r="C3" s="118"/>
      <x:c r="D3" s="118"/>
      <x:c r="E3" s="118"/>
      <x:c r="F3" s="118"/>
      <x:c r="G3" s="118"/>
      <x:c r="H3" s="118"/>
      <x:c r="I3" s="118"/>
      <x:c r="J3" s="118"/>
    </x:row>
    <x:row r="4" ht="20" hidden="0" customHeight="1">
      <x:c r="A4" s="88"/>
      <x:c r="B4" s="88"/>
      <x:c r="C4" s="88"/>
      <x:c r="D4" s="88"/>
      <x:c r="E4" s="88"/>
      <x:c r="F4" s="88"/>
      <x:c r="G4" s="88"/>
      <x:c r="H4" s="88"/>
      <x:c r="I4" s="90"/>
      <x:c r="J4" s="90"/>
    </x:row>
    <x:row r="5" ht="20" hidden="0" customHeight="1">
      <x:c r="A5" s="90"/>
      <x:c r="B5" s="88" t="str">
        <x:v>Scenario: 1 Base / 2 Upside / 3 Downside</x:v>
      </x:c>
      <x:c r="C5" s="119" t="n">
        <x:v>1</x:v>
      </x:c>
      <x:c r="D5" s="90"/>
      <x:c r="E5" s="90"/>
      <x:c r="F5" s="90"/>
      <x:c r="G5" s="90"/>
      <x:c r="H5" s="90"/>
      <x:c r="I5" s="90"/>
      <x:c r="J5" s="90"/>
    </x:row>
    <x:row r="6" ht="20" hidden="0" customHeight="1">
      <x:c r="A6" s="90"/>
      <x:c r="B6" s="90"/>
      <x:c r="C6" s="120" t="str">
        <x:f aca="0">CHOOSE(C5,"BASE","UPSIDE","DOWNSIDE")</x:f>
        <x:v>BASE</x:v>
      </x:c>
      <x:c r="D6" s="90"/>
      <x:c r="E6" s="90"/>
      <x:c r="F6" s="90"/>
      <x:c r="G6" s="90"/>
      <x:c r="H6" s="90"/>
      <x:c r="I6" s="90"/>
      <x:c r="J6" s="90"/>
    </x:row>
    <x:row r="7" ht="20" hidden="0" customHeight="1">
      <x:c r="A7" s="90"/>
      <x:c r="B7" s="90"/>
      <x:c r="C7" s="90"/>
      <x:c r="D7" s="90"/>
      <x:c r="E7" s="90"/>
      <x:c r="F7" s="90"/>
      <x:c r="G7" s="90"/>
      <x:c r="H7" s="90"/>
      <x:c r="I7" s="90"/>
      <x:c r="J7" s="90"/>
    </x:row>
    <x:row r="8" ht="24" hidden="0" customHeight="1">
      <x:c r="A8" s="88"/>
      <x:c r="B8" s="121" t="str">
        <x:v>OPERATING ASSUMPTIONS</x:v>
      </x:c>
      <x:c r="C8" s="121"/>
      <x:c r="D8" s="121"/>
      <x:c r="E8" s="121"/>
      <x:c r="F8" s="121"/>
      <x:c r="G8" s="121"/>
      <x:c r="H8" s="121"/>
      <x:c r="I8" s="121"/>
      <x:c r="J8" s="121"/>
    </x:row>
    <x:row r="9" ht="20" hidden="0" customHeight="1">
      <x:c r="A9" s="90"/>
      <x:c r="B9" s="90"/>
      <x:c r="C9" s="92" t="str">
        <x:v>Base</x:v>
      </x:c>
      <x:c r="D9" s="92" t="str">
        <x:v>Upside</x:v>
      </x:c>
      <x:c r="E9" s="92" t="str">
        <x:v>Downside</x:v>
      </x:c>
      <x:c r="F9" s="92" t="str">
        <x:v>Active</x:v>
      </x:c>
      <x:c r="G9" s="90"/>
      <x:c r="H9" s="90"/>
      <x:c r="I9" s="90"/>
      <x:c r="J9" s="90"/>
    </x:row>
    <x:row r="10" ht="34" hidden="0" customHeight="1">
      <x:c r="A10" s="90"/>
      <x:c r="B10" s="90" t="str">
        <x:v>Case growth after FY2026</x:v>
      </x:c>
      <x:c r="C10" s="125" t="n">
        <x:v>0.01</x:v>
      </x:c>
      <x:c r="D10" s="125" t="n">
        <x:v>0.03</x:v>
      </x:c>
      <x:c r="E10" s="125" t="n">
        <x:v>-0.03</x:v>
      </x:c>
      <x:c r="F10" s="126" t="n">
        <x:f aca="0">CHOOSE($C$5,C10,D10,E10)</x:f>
        <x:v>0.01</x:v>
      </x:c>
      <x:c r="G10" s="90"/>
      <x:c r="H10" s="115" t="str">
        <x:v>Organic volumes; acquisition spending and revenue excluded.</x:v>
      </x:c>
      <x:c r="I10" s="116"/>
      <x:c r="J10" s="116"/>
    </x:row>
    <x:row r="11" ht="34" hidden="0" customHeight="1">
      <x:c r="A11" s="90"/>
      <x:c r="B11" s="90" t="str">
        <x:v>Company Adjusted EBITDA margin</x:v>
      </x:c>
      <x:c r="C11" s="125" t="n">
        <x:v>0.15588235294117647</x:v>
      </x:c>
      <x:c r="D11" s="125" t="n">
        <x:v>0.165</x:v>
      </x:c>
      <x:c r="E11" s="125" t="n">
        <x:v>0.135</x:v>
      </x:c>
      <x:c r="F11" s="126" t="n">
        <x:f aca="0">CHOOSE($C$5,C11,D11,E11)</x:f>
        <x:v>0.15588235294117647</x:v>
      </x:c>
      <x:c r="G11" s="90"/>
      <x:c r="H11" s="115" t="str">
        <x:v>Already after NCI net income. Base FY2026: $530m / $3,400m.</x:v>
      </x:c>
      <x:c r="I11" s="116"/>
      <x:c r="J11" s="116"/>
    </x:row>
    <x:row r="12" ht="34" hidden="0" customHeight="1">
      <x:c r="A12" s="90"/>
      <x:c r="B12" s="90" t="str">
        <x:v>D&amp;A / revenue</x:v>
      </x:c>
      <x:c r="C12" s="125" t="n">
        <x:v>0.047</x:v>
      </x:c>
      <x:c r="D12" s="125" t="n">
        <x:v>0.046</x:v>
      </x:c>
      <x:c r="E12" s="125" t="n">
        <x:v>0.049</x:v>
      </x:c>
      <x:c r="F12" s="126" t="n">
        <x:f aca="0">CHOOSE($C$5,C12,D12,E12)</x:f>
        <x:v>0.047</x:v>
      </x:c>
      <x:c r="G12" s="90"/>
      <x:c r="H12" s="115" t="str">
        <x:v>H1 2026 D&amp;A $77.8m / revenue $1,659.8m.</x:v>
      </x:c>
      <x:c r="I12" s="116"/>
      <x:c r="J12" s="116"/>
    </x:row>
    <x:row r="13" ht="34" hidden="0" customHeight="1">
      <x:c r="A13" s="90"/>
      <x:c r="B13" s="90" t="str">
        <x:v>Gross debt interest rate</x:v>
      </x:c>
      <x:c r="C13" s="125" t="n">
        <x:v>0.075</x:v>
      </x:c>
      <x:c r="D13" s="125" t="n">
        <x:v>0.072</x:v>
      </x:c>
      <x:c r="E13" s="125" t="n">
        <x:v>0.085</x:v>
      </x:c>
      <x:c r="F13" s="126" t="n">
        <x:f aca="0">CHOOSE($C$5,C13,D13,E13)</x:f>
        <x:v>0.075</x:v>
      </x:c>
      <x:c r="G13" s="90"/>
      <x:c r="H13" s="115" t="str">
        <x:v>Financing assumption; cash yield modeled separately.</x:v>
      </x:c>
      <x:c r="I13" s="116"/>
      <x:c r="J13" s="116"/>
    </x:row>
    <x:row r="14" ht="34" hidden="0" customHeight="1">
      <x:c r="A14" s="90"/>
      <x:c r="B14" s="90" t="str">
        <x:v>Parent cash tax rate</x:v>
      </x:c>
      <x:c r="C14" s="125" t="n">
        <x:v>0.26</x:v>
      </x:c>
      <x:c r="D14" s="125" t="n">
        <x:v>0.25</x:v>
      </x:c>
      <x:c r="E14" s="125" t="n">
        <x:v>0.28</x:v>
      </x:c>
      <x:c r="F14" s="126" t="n">
        <x:f aca="0">CHOOSE($C$5,C14,D14,E14)</x:f>
        <x:v>0.26</x:v>
      </x:c>
      <x:c r="G14" s="90"/>
      <x:c r="H14" s="115" t="str">
        <x:v>Tax losses do not generate immediate cash refunds.</x:v>
      </x:c>
      <x:c r="I14" s="116"/>
      <x:c r="J14" s="116"/>
    </x:row>
    <x:row r="15" ht="34" hidden="0" customHeight="1">
      <x:c r="A15" s="90"/>
      <x:c r="B15" s="90" t="str">
        <x:v>Capex / revenue</x:v>
      </x:c>
      <x:c r="C15" s="125" t="n">
        <x:v>0.026</x:v>
      </x:c>
      <x:c r="D15" s="125" t="n">
        <x:v>0.026</x:v>
      </x:c>
      <x:c r="E15" s="125" t="n">
        <x:v>0.029</x:v>
      </x:c>
      <x:c r="F15" s="126" t="n">
        <x:f aca="0">CHOOSE($C$5,C15,D15,E15)</x:f>
        <x:v>0.026</x:v>
      </x:c>
      <x:c r="G15" s="90"/>
      <x:c r="H15" s="115" t="str">
        <x:v>Maintenance and organic expansion; excludes acquisitions.</x:v>
      </x:c>
      <x:c r="I15" s="116"/>
      <x:c r="J15" s="116"/>
    </x:row>
    <x:row r="16" ht="34" hidden="0" customHeight="1">
      <x:c r="A16" s="90"/>
      <x:c r="B16" s="90" t="str">
        <x:v>SBC / revenue</x:v>
      </x:c>
      <x:c r="C16" s="125" t="n">
        <x:v>0.0058</x:v>
      </x:c>
      <x:c r="D16" s="125" t="n">
        <x:v>0.005</x:v>
      </x:c>
      <x:c r="E16" s="125" t="n">
        <x:v>0.007</x:v>
      </x:c>
      <x:c r="F16" s="126" t="n">
        <x:f aca="0">CHOOSE($C$5,C16,D16,E16)</x:f>
        <x:v>0.0058</x:v>
      </x:c>
      <x:c r="G16" s="90"/>
      <x:c r="H16" s="115" t="str">
        <x:v>Economic expense; no add-back in valuation cash flow.</x:v>
      </x:c>
      <x:c r="I16" s="116"/>
      <x:c r="J16" s="116"/>
    </x:row>
    <x:row r="17" ht="34" hidden="0" customHeight="1">
      <x:c r="A17" s="90"/>
      <x:c r="B17" s="90" t="str">
        <x:v>NCI annual net income / revenue</x:v>
      </x:c>
      <x:c r="C17" s="125" t="n">
        <x:v>0.0534348837912171</x:v>
      </x:c>
      <x:c r="D17" s="125" t="n">
        <x:v>0.051</x:v>
      </x:c>
      <x:c r="E17" s="125" t="n">
        <x:v>0.055</x:v>
      </x:c>
      <x:c r="F17" s="126" t="n">
        <x:f aca="0">CHOOSE($C$5,C17,D17,E17)</x:f>
        <x:v>0.0534348837912171</x:v>
      </x:c>
      <x:c r="G17" s="90"/>
      <x:c r="H17" s="115" t="str">
        <x:v>FY2025 NCI net income basis; an earnings claim, not EBITDA ownership.</x:v>
      </x:c>
      <x:c r="I17" s="116"/>
      <x:c r="J17" s="116"/>
    </x:row>
    <x:row r="18" ht="34" hidden="0" customHeight="1">
      <x:c r="A18" s="90"/>
      <x:c r="B18" s="90" t="str">
        <x:v>FY2026 NCI cash distributions</x:v>
      </x:c>
      <x:c r="C18" s="129" t="n">
        <x:v>226</x:v>
      </x:c>
      <x:c r="D18" s="129" t="n">
        <x:v>215</x:v>
      </x:c>
      <x:c r="E18" s="129" t="n">
        <x:v>240</x:v>
      </x:c>
      <x:c r="F18" s="130" t="n">
        <x:f aca="0">CHOOSE($C$5,C18,D18,E18)</x:f>
        <x:v>226</x:v>
      </x:c>
      <x:c r="G18" s="90"/>
      <x:c r="H18" s="115" t="str">
        <x:v>FY2025 actual $226m; H1 2026 actual $103.5m.</x:v>
      </x:c>
      <x:c r="I18" s="116"/>
      <x:c r="J18" s="116"/>
    </x:row>
    <x:row r="19" ht="34" hidden="0" customHeight="1">
      <x:c r="A19" s="90"/>
      <x:c r="B19" s="90" t="str">
        <x:v>Recurring excluded costs / revenue</x:v>
      </x:c>
      <x:c r="C19" s="133" t="n">
        <x:v>0.02</x:v>
      </x:c>
      <x:c r="D19" s="133" t="n">
        <x:v>0.015</x:v>
      </x:c>
      <x:c r="E19" s="133" t="n">
        <x:v>0.025</x:v>
      </x:c>
      <x:c r="F19" s="131" t="n">
        <x:f>CHOOSE($C$5,C19,D19,E19)</x:f>
        <x:v>0.02</x:v>
      </x:c>
      <x:c r="G19" s="90"/>
      <x:c r="H19" s="116" t="str">
        <x:v>Cash allowance for recurring transaction, integration and start-up work.</x:v>
      </x:c>
      <x:c r="I19" s="116"/>
      <x:c r="J19" s="116"/>
    </x:row>
    <x:row r="20" ht="34" hidden="0" customHeight="1">
      <x:c r="A20" s="88"/>
      <x:c r="B20" s="88" t="str">
        <x:v>Revenue per case growth after FY2026</x:v>
      </x:c>
      <x:c r="C20" s="136" t="n">
        <x:v>0.02</x:v>
      </x:c>
      <x:c r="D20" s="136" t="n">
        <x:v>0.03</x:v>
      </x:c>
      <x:c r="E20" s="136" t="n">
        <x:v>0</x:v>
      </x:c>
      <x:c r="F20" s="134" t="n">
        <x:f>CHOOSE($C$5,C20,D20,E20)</x:f>
        <x:v>0.02</x:v>
      </x:c>
      <x:c r="G20" s="88"/>
      <x:c r="H20" s="137" t="str">
        <x:v>Pricing and mix, separate from case growth.</x:v>
      </x:c>
      <x:c r="I20" s="116"/>
      <x:c r="J20" s="116"/>
    </x:row>
    <x:row r="21" ht="34" hidden="0" customHeight="1">
      <x:c r="A21" s="90"/>
      <x:c r="B21" s="90" t="str">
        <x:v>FY2026 full-year revenue</x:v>
      </x:c>
      <x:c r="C21" s="129" t="n">
        <x:v>3400</x:v>
      </x:c>
      <x:c r="D21" s="140" t="n">
        <x:v>3450</x:v>
      </x:c>
      <x:c r="E21" s="140" t="n">
        <x:v>3350</x:v>
      </x:c>
      <x:c r="F21" s="138" t="n">
        <x:f>CHOOSE($C$5,C21,D21,E21)</x:f>
        <x:v>3400</x:v>
      </x:c>
      <x:c r="G21" s="90"/>
      <x:c r="H21" s="115" t="str">
        <x:v>Guidance range; excludes pending Idaho Falls divestiture.</x:v>
      </x:c>
      <x:c r="I21" s="116"/>
      <x:c r="J21" s="116"/>
    </x:row>
    <x:row r="22" ht="20" hidden="0" customHeight="1">
      <x:c r="A22" s="90"/>
      <x:c r="B22" s="90"/>
      <x:c r="C22" s="106"/>
      <x:c r="D22" s="90"/>
      <x:c r="E22" s="90"/>
      <x:c r="F22" s="90"/>
      <x:c r="G22" s="90"/>
      <x:c r="H22" s="103"/>
      <x:c r="I22" s="90"/>
      <x:c r="J22" s="90"/>
    </x:row>
    <x:row r="23" ht="24" hidden="0" customHeight="1">
      <x:c r="A23" s="90"/>
      <x:c r="B23" s="121" t="str">
        <x:v>CAPITAL AND VALUATION ASSUMPTIONS</x:v>
      </x:c>
      <x:c r="C23" s="143"/>
      <x:c r="D23" s="121"/>
      <x:c r="E23" s="121"/>
      <x:c r="F23" s="121"/>
      <x:c r="G23" s="121"/>
      <x:c r="H23" s="144"/>
      <x:c r="I23" s="121"/>
      <x:c r="J23" s="121"/>
    </x:row>
    <x:row r="24" ht="20" hidden="0" customHeight="1">
      <x:c r="A24" s="90"/>
      <x:c r="B24" s="90" t="str">
        <x:v>Incremental working capital / incremental sales</x:v>
      </x:c>
      <x:c r="C24" s="125" t="n">
        <x:v>0.1</x:v>
      </x:c>
      <x:c r="D24" s="90"/>
      <x:c r="E24" s="90"/>
      <x:c r="F24" s="90"/>
      <x:c r="G24" s="90"/>
      <x:c r="H24" s="103"/>
      <x:c r="I24" s="90"/>
      <x:c r="J24" s="90"/>
    </x:row>
    <x:row r="25" ht="20" hidden="0" customHeight="1">
      <x:c r="A25" s="90"/>
      <x:c r="B25" s="90" t="str">
        <x:v>Minimum operating cash</x:v>
      </x:c>
      <x:c r="C25" s="129" t="n">
        <x:v>100</x:v>
      </x:c>
      <x:c r="D25" s="90"/>
      <x:c r="E25" s="90"/>
      <x:c r="F25" s="90"/>
      <x:c r="G25" s="90"/>
      <x:c r="H25" s="103"/>
      <x:c r="I25" s="90"/>
      <x:c r="J25" s="90"/>
    </x:row>
    <x:row r="26" ht="20" hidden="0" customHeight="1">
      <x:c r="A26" s="90"/>
      <x:c r="B26" s="90" t="str">
        <x:v>Risk-free rate</x:v>
      </x:c>
      <x:c r="C26" s="125" t="n">
        <x:v>0.042</x:v>
      </x:c>
      <x:c r="D26" s="90"/>
      <x:c r="E26" s="90"/>
      <x:c r="F26" s="90"/>
      <x:c r="G26" s="90"/>
      <x:c r="H26" s="103"/>
      <x:c r="I26" s="90"/>
      <x:c r="J26" s="90"/>
    </x:row>
    <x:row r="27" ht="20" hidden="0" customHeight="1">
      <x:c r="A27" s="90"/>
      <x:c r="B27" s="90" t="str">
        <x:v>Equity risk premium</x:v>
      </x:c>
      <x:c r="C27" s="125" t="n">
        <x:v>0.05</x:v>
      </x:c>
      <x:c r="D27" s="90"/>
      <x:c r="E27" s="90"/>
      <x:c r="F27" s="90"/>
      <x:c r="G27" s="90"/>
      <x:c r="H27" s="103"/>
      <x:c r="I27" s="90"/>
      <x:c r="J27" s="90"/>
    </x:row>
    <x:row r="28" ht="20" hidden="0" customHeight="1">
      <x:c r="A28" s="90"/>
      <x:c r="B28" s="90" t="str">
        <x:v>Levered beta</x:v>
      </x:c>
      <x:c r="C28" s="145" t="n">
        <x:v>1.92</x:v>
      </x:c>
      <x:c r="D28" s="90"/>
      <x:c r="E28" s="90"/>
      <x:c r="F28" s="90"/>
      <x:c r="G28" s="90"/>
      <x:c r="H28" s="103"/>
      <x:c r="I28" s="90"/>
      <x:c r="J28" s="90"/>
    </x:row>
    <x:row r="29" ht="20" hidden="0" customHeight="1">
      <x:c r="A29" s="90"/>
      <x:c r="B29" s="90" t="str">
        <x:v>Terminal growth</x:v>
      </x:c>
      <x:c r="C29" s="125" t="n">
        <x:v>0.025</x:v>
      </x:c>
      <x:c r="D29" s="90"/>
      <x:c r="E29" s="90"/>
      <x:c r="F29" s="90"/>
      <x:c r="G29" s="90"/>
      <x:c r="H29" s="103"/>
      <x:c r="I29" s="90"/>
      <x:c r="J29" s="90"/>
    </x:row>
    <x:row r="30" ht="20" hidden="0" customHeight="1">
      <x:c r="A30" s="90"/>
      <x:c r="B30" s="90" t="str">
        <x:v>Parent economic exit multiple</x:v>
      </x:c>
      <x:c r="C30" s="148" t="n">
        <x:v>9</x:v>
      </x:c>
      <x:c r="D30" s="90"/>
      <x:c r="E30" s="90"/>
      <x:c r="F30" s="90"/>
      <x:c r="G30" s="90"/>
      <x:c r="H30" s="103"/>
      <x:c r="I30" s="90"/>
      <x:c r="J30" s="90"/>
    </x:row>
    <x:row r="31" ht="20" hidden="0" customHeight="1">
      <x:c r="A31" s="90"/>
      <x:c r="B31" s="90" t="str">
        <x:v>WACC override (zero = calculated)</x:v>
      </x:c>
      <x:c r="C31" s="125" t="n">
        <x:v>0</x:v>
      </x:c>
      <x:c r="D31" s="90"/>
      <x:c r="E31" s="90"/>
      <x:c r="F31" s="90"/>
      <x:c r="G31" s="90"/>
      <x:c r="H31" s="103"/>
      <x:c r="I31" s="90"/>
      <x:c r="J31" s="90"/>
    </x:row>
    <x:row r="32" ht="20" hidden="0" customHeight="1">
      <x:c r="A32" s="90"/>
      <x:c r="B32" s="90" t="str">
        <x:v>FY2026 parent cash distributions</x:v>
      </x:c>
      <x:c r="C32" s="129" t="n">
        <x:v>0</x:v>
      </x:c>
      <x:c r="D32" s="90"/>
      <x:c r="E32" s="90"/>
      <x:c r="F32" s="90"/>
      <x:c r="G32" s="90"/>
      <x:c r="H32" s="103"/>
      <x:c r="I32" s="90"/>
      <x:c r="J32" s="90"/>
    </x:row>
    <x:row r="33" ht="20" hidden="0" customHeight="1">
      <x:c r="A33" s="90"/>
      <x:c r="B33" s="90" t="str">
        <x:v>Cash yield</x:v>
      </x:c>
      <x:c r="C33" s="133" t="n">
        <x:v>0.03</x:v>
      </x:c>
      <x:c r="D33" s="90"/>
      <x:c r="E33" s="90"/>
      <x:c r="F33" s="90"/>
      <x:c r="G33" s="90"/>
      <x:c r="H33" s="90"/>
      <x:c r="I33" s="90"/>
      <x:c r="J33" s="90"/>
    </x:row>
    <x:row r="34" ht="20" hidden="0" customHeight="1">
      <x:c r="A34" s="90"/>
      <x:c r="B34" s="90" t="str">
        <x:v>NCI claim for consolidated comps</x:v>
      </x:c>
      <x:c r="C34" s="140" t="n">
        <x:v>1797.7</x:v>
      </x:c>
      <x:c r="D34" s="90"/>
      <x:c r="E34" s="90"/>
      <x:c r="F34" s="90"/>
      <x:c r="G34" s="90"/>
      <x:c r="H34" s="90"/>
      <x:c r="I34" s="90"/>
      <x:c r="J34" s="90"/>
    </x:row>
    <x:row r="35" ht="20" hidden="0" customHeight="1">
      <x:c r="A35" s="90"/>
      <x:c r="B35" s="90" t="str">
        <x:v>Selected consolidated EV/EBITDA low</x:v>
      </x:c>
      <x:c r="C35" s="151" t="n">
        <x:v>8</x:v>
      </x:c>
      <x:c r="D35" s="90"/>
      <x:c r="E35" s="90"/>
      <x:c r="F35" s="90"/>
      <x:c r="G35" s="90"/>
      <x:c r="H35" s="90"/>
      <x:c r="I35" s="90"/>
      <x:c r="J35" s="90"/>
    </x:row>
    <x:row r="36" ht="20" hidden="0" customHeight="1">
      <x:c r="A36" s="90"/>
      <x:c r="B36" s="90" t="str">
        <x:v>Selected consolidated EV/EBITDA high</x:v>
      </x:c>
      <x:c r="C36" s="151" t="n">
        <x:v>10</x:v>
      </x:c>
      <x:c r="D36" s="90"/>
      <x:c r="E36" s="90"/>
      <x:c r="F36" s="90"/>
      <x:c r="G36" s="90"/>
      <x:c r="H36" s="90"/>
      <x:c r="I36" s="90"/>
      <x:c r="J36" s="90"/>
    </x:row>
    <x:row r="37" ht="20" hidden="0" customHeight="1">
      <x:c r="A37" s="90"/>
      <x:c r="B37" s="90" t="str">
        <x:v>Incremental terminal investment / sales growth</x:v>
      </x:c>
      <x:c r="C37" s="133" t="n">
        <x:v>0.2</x:v>
      </x:c>
      <x:c r="D37" s="90"/>
      <x:c r="E37" s="90"/>
      <x:c r="F37" s="90"/>
      <x:c r="G37" s="90"/>
      <x:c r="H37" s="90"/>
      <x:c r="I37" s="90"/>
      <x:c r="J37" s="90"/>
    </x:row>
    <x:row r="38" ht="20" hidden="0" customHeight="1">
      <x:c r="A38" s="90"/>
      <x:c r="B38" s="90" t="str">
        <x:v>Offer premium</x:v>
      </x:c>
      <x:c r="C38" s="133" t="n">
        <x:v>0.25</x:v>
      </x:c>
      <x:c r="D38" s="90"/>
      <x:c r="E38" s="90"/>
      <x:c r="F38" s="90"/>
      <x:c r="G38" s="90"/>
      <x:c r="H38" s="90"/>
      <x:c r="I38" s="90"/>
      <x:c r="J38" s="90"/>
    </x:row>
    <x:row r="39" ht="20" hidden="0" customHeight="1">
      <x:c r="A39" s="90"/>
      <x:c r="B39" s="90" t="str">
        <x:v>Buyer leverage / company Adjusted EBITDA</x:v>
      </x:c>
      <x:c r="C39" s="151" t="n">
        <x:v>5.5</x:v>
      </x:c>
      <x:c r="D39" s="90"/>
      <x:c r="E39" s="90"/>
      <x:c r="F39" s="90"/>
      <x:c r="G39" s="90"/>
      <x:c r="H39" s="90"/>
      <x:c r="I39" s="90"/>
      <x:c r="J39" s="90"/>
    </x:row>
    <x:row r="40" ht="20" hidden="0" customHeight="1">
      <x:c r="A40" s="90"/>
      <x:c r="B40" s="90" t="str">
        <x:v>Transaction fees / parent enterprise value</x:v>
      </x:c>
      <x:c r="C40" s="133" t="n">
        <x:v>0.02</x:v>
      </x:c>
      <x:c r="D40" s="90"/>
      <x:c r="E40" s="90"/>
      <x:c r="F40" s="90"/>
      <x:c r="G40" s="90"/>
      <x:c r="H40" s="90"/>
      <x:c r="I40" s="90"/>
      <x:c r="J40" s="90"/>
    </x:row>
    <x:row r="41" ht="20" hidden="0" customHeight="1">
      <x:c r="A41" s="90"/>
      <x:c r="B41" s="90" t="str">
        <x:v>Buyer target annual return</x:v>
      </x:c>
      <x:c r="C41" s="133" t="n">
        <x:v>0.2</x:v>
      </x:c>
      <x:c r="D41" s="90"/>
      <x:c r="E41" s="90"/>
      <x:c r="F41" s="90"/>
      <x:c r="G41" s="90"/>
      <x:c r="H41" s="90"/>
      <x:c r="I41" s="90"/>
      <x:c r="J41" s="90"/>
    </x:row>
    <x:row r="42" ht="20" hidden="0" customHeight="1">
      <x:c r="A42" s="90"/>
      <x:c r="B42" s="90" t="str">
        <x:v>Cash available to parent / reported cash</x:v>
      </x:c>
      <x:c r="C42" s="133" t="n">
        <x:v>1</x:v>
      </x:c>
      <x:c r="D42" s="90"/>
      <x:c r="E42" s="90"/>
      <x:c r="F42" s="90"/>
      <x:c r="G42" s="90"/>
      <x:c r="H42" s="90"/>
      <x:c r="I42" s="90"/>
      <x:c r="J42" s="90"/>
    </x:row>
    <x:row r="43" ht="20" hidden="0" customHeight="1">
      <x:c r="A43" s="90"/>
      <x:c r="B43" s="90" t="str">
        <x:v>Share price assumption, September 4, 2026</x:v>
      </x:c>
      <x:c r="C43" s="154" t="n">
        <x:v>14.26</x:v>
      </x:c>
      <x:c r="D43" s="90"/>
      <x:c r="E43" s="90"/>
      <x:c r="F43" s="90"/>
      <x:c r="G43" s="90"/>
      <x:c r="H43" s="90"/>
      <x:c r="I43" s="90"/>
      <x:c r="J43" s="90"/>
    </x:row>
    <x:row r="44" ht="20" hidden="0" customHeight="1">
      <x:c r="A44" s="90"/>
      <x:c r="B44" s="90" t="str">
        <x:v>Additional dilution assumption, shares (m)</x:v>
      </x:c>
      <x:c r="C44" s="140" t="n">
        <x:v>0</x:v>
      </x:c>
      <x:c r="D44" s="90"/>
      <x:c r="E44" s="90"/>
      <x:c r="F44" s="90"/>
      <x:c r="G44" s="90"/>
      <x:c r="H44" s="90"/>
      <x:c r="I44" s="90"/>
      <x:c r="J44" s="90"/>
    </x:row>
    <x:row r="45" ht="20" hidden="0" customHeight="1">
      <x:c r="A45" s="90"/>
      <x:c r="B45" s="90"/>
      <x:c r="C45" s="90"/>
      <x:c r="D45" s="90"/>
      <x:c r="E45" s="90"/>
      <x:c r="F45" s="90"/>
      <x:c r="G45" s="90"/>
      <x:c r="H45" s="90"/>
      <x:c r="I45" s="90"/>
      <x:c r="J45" s="90"/>
    </x:row>
    <x:row r="46" ht="20" hidden="0" customHeight="1">
      <x:c r="A46" s="90"/>
      <x:c r="B46" s="118" t="str">
        <x:v>The NCI amount is a valuation assumption for the consolidated peer comparison only. The DCF pays physician distributions in cash flow; it does not subtract NCI a second time. Report-date cash and debt are valuation-date balance assumptions. Parent access to cash is separately adjustable.</x:v>
      </x:c>
      <x:c r="C46" s="118"/>
      <x:c r="D46" s="118"/>
      <x:c r="E46" s="118"/>
      <x:c r="F46" s="118"/>
      <x:c r="G46" s="118"/>
      <x:c r="H46" s="118"/>
      <x:c r="I46" s="118"/>
      <x:c r="J46" s="118"/>
    </x:row>
    <x:row r="47" ht="20" hidden="0" customHeight="1">
      <x:c r="A47" s="90"/>
      <x:c r="B47" s="118"/>
      <x:c r="C47" s="118"/>
      <x:c r="D47" s="118"/>
      <x:c r="E47" s="118"/>
      <x:c r="F47" s="118"/>
      <x:c r="G47" s="118"/>
      <x:c r="H47" s="118"/>
      <x:c r="I47" s="118"/>
      <x:c r="J47" s="118"/>
    </x:row>
    <x:row r="48" ht="20" hidden="0" customHeight="1">
      <x:c r="A48" s="90"/>
      <x:c r="B48" s="118"/>
      <x:c r="C48" s="118"/>
      <x:c r="D48" s="118"/>
      <x:c r="E48" s="118"/>
      <x:c r="F48" s="118"/>
      <x:c r="G48" s="118"/>
      <x:c r="H48" s="118"/>
      <x:c r="I48" s="118"/>
      <x:c r="J48" s="118"/>
    </x:row>
    <x:row r="49" ht="20" hidden="0" customHeight="1">
      <x:c r="A49" s="90"/>
      <x:c r="B49" s="118"/>
      <x:c r="C49" s="118"/>
      <x:c r="D49" s="118"/>
      <x:c r="E49" s="118"/>
      <x:c r="F49" s="118"/>
      <x:c r="G49" s="118"/>
      <x:c r="H49" s="118"/>
      <x:c r="I49" s="118"/>
      <x:c r="J49" s="118"/>
    </x:row>
    <x:row r="50" ht="20" hidden="0" customHeight="1">
      <x:c r="A50" s="90"/>
      <x:c r="B50" s="90"/>
      <x:c r="C50" s="90"/>
      <x:c r="D50" s="90"/>
      <x:c r="E50" s="90"/>
      <x:c r="F50" s="90"/>
      <x:c r="G50" s="90"/>
      <x:c r="H50" s="90"/>
      <x:c r="I50" s="90"/>
      <x:c r="J50" s="90"/>
    </x:row>
    <x:row r="51" ht="20" hidden="0" customHeight="1">
      <x:c r="A51" s="90"/>
      <x:c r="B51" s="118" t="str">
        <x:v>Assumed debt refinancing holds the outstanding balance available through the forecast; repayments and new borrowings are explicit. Pending Idaho Falls proceeds and the associated earnings removal are excluded together. No benefit from buyer synergies is included.</x:v>
      </x:c>
      <x:c r="C51" s="118"/>
      <x:c r="D51" s="118"/>
      <x:c r="E51" s="118"/>
      <x:c r="F51" s="118"/>
      <x:c r="G51" s="118"/>
      <x:c r="H51" s="118"/>
      <x:c r="I51" s="118"/>
      <x:c r="J51" s="118"/>
    </x:row>
    <x:row r="52" ht="20" hidden="0" customHeight="1">
      <x:c r="A52" s="90"/>
      <x:c r="B52" s="118"/>
      <x:c r="C52" s="118"/>
      <x:c r="D52" s="118"/>
      <x:c r="E52" s="118"/>
      <x:c r="F52" s="118"/>
      <x:c r="G52" s="118"/>
      <x:c r="H52" s="118"/>
      <x:c r="I52" s="118"/>
      <x:c r="J52" s="118"/>
    </x:row>
    <x:row r="53" ht="20" hidden="0" customHeight="1">
      <x:c r="A53" s="90"/>
      <x:c r="B53" s="118"/>
      <x:c r="C53" s="118"/>
      <x:c r="D53" s="118"/>
      <x:c r="E53" s="118"/>
      <x:c r="F53" s="118"/>
      <x:c r="G53" s="118"/>
      <x:c r="H53" s="118"/>
      <x:c r="I53" s="118"/>
      <x:c r="J53" s="118"/>
    </x:row>
    <x:row r="54" ht="20" hidden="0" customHeight="1">
      <x:c r="A54" s="90"/>
      <x:c r="B54" s="118"/>
      <x:c r="C54" s="118"/>
      <x:c r="D54" s="118"/>
      <x:c r="E54" s="118"/>
      <x:c r="F54" s="118"/>
      <x:c r="G54" s="118"/>
      <x:c r="H54" s="118"/>
      <x:c r="I54" s="118"/>
      <x:c r="J54" s="118"/>
    </x:row>
    <x:row r="55" ht="20" hidden="0" customHeight="1">
      <x:c r="A55" s="90"/>
      <x:c r="B55" s="90"/>
      <x:c r="C55" s="90"/>
      <x:c r="D55" s="90"/>
      <x:c r="E55" s="90"/>
      <x:c r="F55" s="90"/>
      <x:c r="G55" s="90"/>
      <x:c r="H55" s="90"/>
      <x:c r="I55" s="90"/>
      <x:c r="J55" s="90"/>
    </x:row>
    <x:row r="56" ht="20" hidden="0" customHeight="1">
      <x:c r="A56" s="90"/>
      <x:c r="B56" s="118" t="str">
        <x:v>Organic growth = (1 + case growth) × (1 + revenue per case growth) − 1. Company EBITDA is before selected costs that may recur; the cash allowance keeps those costs in the underwriting. Terminal capex covers D&amp;A plus incremental growth investment.</x:v>
      </x:c>
      <x:c r="C56" s="118"/>
      <x:c r="D56" s="118"/>
      <x:c r="E56" s="118"/>
      <x:c r="F56" s="118"/>
      <x:c r="G56" s="118"/>
      <x:c r="H56" s="118"/>
      <x:c r="I56" s="118"/>
      <x:c r="J56" s="118"/>
    </x:row>
    <x:row r="57" ht="20" hidden="0" customHeight="1">
      <x:c r="A57" s="90"/>
      <x:c r="B57" s="118"/>
      <x:c r="C57" s="118"/>
      <x:c r="D57" s="118"/>
      <x:c r="E57" s="118"/>
      <x:c r="F57" s="118"/>
      <x:c r="G57" s="118"/>
      <x:c r="H57" s="118"/>
      <x:c r="I57" s="118"/>
      <x:c r="J57" s="118"/>
    </x:row>
    <x:row r="58" ht="20" hidden="0" customHeight="1">
      <x:c r="A58" s="90"/>
      <x:c r="B58" s="118"/>
      <x:c r="C58" s="118"/>
      <x:c r="D58" s="118"/>
      <x:c r="E58" s="118"/>
      <x:c r="F58" s="118"/>
      <x:c r="G58" s="118"/>
      <x:c r="H58" s="118"/>
      <x:c r="I58" s="118"/>
      <x:c r="J58" s="118"/>
    </x:row>
    <x:row r="59" ht="20" hidden="0" customHeight="1">
      <x:c r="A59" s="90"/>
      <x:c r="B59" s="118"/>
      <x:c r="C59" s="118"/>
      <x:c r="D59" s="118"/>
      <x:c r="E59" s="118"/>
      <x:c r="F59" s="118"/>
      <x:c r="G59" s="118"/>
      <x:c r="H59" s="118"/>
      <x:c r="I59" s="118"/>
      <x:c r="J59" s="118"/>
    </x:row>
    <x:row r="60" ht="20" hidden="0" customHeight="1">
      <x:c r="A60" s="90"/>
      <x:c r="B60" s="90"/>
      <x:c r="C60" s="90"/>
      <x:c r="D60" s="90"/>
      <x:c r="E60" s="90"/>
      <x:c r="F60" s="90"/>
      <x:c r="G60" s="90"/>
      <x:c r="H60" s="90"/>
      <x:c r="I60" s="90"/>
      <x:c r="J60" s="90"/>
    </x:row>
    <x:row r="61" ht="20" hidden="0" customHeight="1">
      <x:c r="A61" s="90"/>
      <x:c r="B61" s="90"/>
      <x:c r="C61" s="90"/>
      <x:c r="D61" s="90"/>
      <x:c r="E61" s="90"/>
      <x:c r="F61" s="90"/>
      <x:c r="G61" s="90"/>
      <x:c r="H61" s="90"/>
      <x:c r="I61" s="90"/>
      <x:c r="J61" s="90"/>
    </x:row>
    <x:row r="62" ht="20" hidden="0" customHeight="1">
      <x:c r="A62" s="90"/>
      <x:c r="B62" s="90"/>
      <x:c r="C62" s="90"/>
      <x:c r="D62" s="90"/>
      <x:c r="E62" s="90"/>
      <x:c r="F62" s="90"/>
      <x:c r="G62" s="90"/>
      <x:c r="H62" s="90"/>
      <x:c r="I62" s="90"/>
      <x:c r="J62" s="90"/>
    </x:row>
    <x:row r="63" ht="20" hidden="0" customHeight="1">
      <x:c r="A63" s="90"/>
      <x:c r="B63" s="90"/>
      <x:c r="C63" s="90"/>
      <x:c r="D63" s="90"/>
      <x:c r="E63" s="90"/>
      <x:c r="F63" s="90"/>
      <x:c r="G63" s="90"/>
      <x:c r="H63" s="90"/>
      <x:c r="I63" s="90"/>
      <x:c r="J63" s="90"/>
    </x:row>
    <x:row r="64" ht="20" hidden="0" customHeight="1">
      <x:c r="A64" s="90"/>
      <x:c r="B64" s="90"/>
      <x:c r="C64" s="90"/>
      <x:c r="D64" s="90"/>
      <x:c r="E64" s="90"/>
      <x:c r="F64" s="90"/>
      <x:c r="G64" s="90"/>
      <x:c r="H64" s="90"/>
      <x:c r="I64" s="90"/>
      <x:c r="J64" s="90"/>
    </x:row>
    <x:row r="65" ht="20" hidden="0" customHeight="1">
      <x:c r="A65" s="90"/>
      <x:c r="B65" s="90"/>
      <x:c r="C65" s="90"/>
      <x:c r="D65" s="90"/>
      <x:c r="E65" s="90"/>
      <x:c r="F65" s="90"/>
      <x:c r="G65" s="90"/>
      <x:c r="H65" s="90"/>
      <x:c r="I65" s="90"/>
      <x:c r="J65" s="90"/>
    </x:row>
    <x:row r="66" ht="20" hidden="0" customHeight="1">
      <x:c r="A66" s="90"/>
      <x:c r="B66" s="90"/>
      <x:c r="C66" s="90"/>
      <x:c r="D66" s="90"/>
      <x:c r="E66" s="90"/>
      <x:c r="F66" s="90"/>
      <x:c r="G66" s="90"/>
      <x:c r="H66" s="90"/>
      <x:c r="I66" s="90"/>
      <x:c r="J66" s="90"/>
    </x:row>
    <x:row r="67" ht="20" hidden="0" customHeight="1">
      <x:c r="A67" s="90"/>
      <x:c r="B67" s="90"/>
      <x:c r="C67" s="90"/>
      <x:c r="D67" s="90"/>
      <x:c r="E67" s="90"/>
      <x:c r="F67" s="90"/>
      <x:c r="G67" s="90"/>
      <x:c r="H67" s="90"/>
      <x:c r="I67" s="90"/>
      <x:c r="J67" s="90"/>
    </x:row>
    <x:row r="68" ht="20" hidden="0" customHeight="1">
      <x:c r="A68" s="90"/>
      <x:c r="B68" s="90"/>
      <x:c r="C68" s="90"/>
      <x:c r="D68" s="90"/>
      <x:c r="E68" s="90"/>
      <x:c r="F68" s="90"/>
      <x:c r="G68" s="90"/>
      <x:c r="H68" s="90"/>
      <x:c r="I68" s="90"/>
      <x:c r="J68" s="90"/>
    </x:row>
    <x:row r="69" ht="20" hidden="0" customHeight="1">
      <x:c r="A69" s="90"/>
      <x:c r="B69" s="90"/>
      <x:c r="C69" s="90"/>
      <x:c r="D69" s="90"/>
      <x:c r="E69" s="90"/>
      <x:c r="F69" s="90"/>
      <x:c r="G69" s="90"/>
      <x:c r="H69" s="90"/>
      <x:c r="I69" s="90"/>
      <x:c r="J69" s="90"/>
    </x:row>
    <x:row r="70" ht="20" hidden="0" customHeight="1">
      <x:c r="A70" s="90"/>
      <x:c r="B70" s="90"/>
      <x:c r="C70" s="90"/>
      <x:c r="D70" s="90"/>
      <x:c r="E70" s="90"/>
      <x:c r="F70" s="90"/>
      <x:c r="G70" s="90"/>
      <x:c r="H70" s="90"/>
      <x:c r="I70" s="90"/>
      <x:c r="J70" s="90"/>
    </x:row>
    <x:row r="71" ht="20" hidden="0" customHeight="1">
      <x:c r="A71" s="90"/>
      <x:c r="B71" s="90"/>
      <x:c r="C71" s="90"/>
      <x:c r="D71" s="90"/>
      <x:c r="E71" s="90"/>
      <x:c r="F71" s="90"/>
      <x:c r="G71" s="90"/>
      <x:c r="H71" s="90"/>
      <x:c r="I71" s="90"/>
      <x:c r="J71" s="90"/>
    </x:row>
    <x:row r="72" ht="20" hidden="0" customHeight="1">
      <x:c r="A72" s="90"/>
      <x:c r="B72" s="90"/>
      <x:c r="C72" s="90"/>
      <x:c r="D72" s="90"/>
      <x:c r="E72" s="90"/>
      <x:c r="F72" s="90"/>
      <x:c r="G72" s="90"/>
      <x:c r="H72" s="90"/>
      <x:c r="I72" s="90"/>
      <x:c r="J72" s="90"/>
    </x:row>
    <x:row r="73" ht="20" hidden="0" customHeight="1">
      <x:c r="A73" s="90"/>
      <x:c r="B73" s="90"/>
      <x:c r="C73" s="90"/>
      <x:c r="D73" s="90"/>
      <x:c r="E73" s="90"/>
      <x:c r="F73" s="90"/>
      <x:c r="G73" s="90"/>
      <x:c r="H73" s="90"/>
      <x:c r="I73" s="90"/>
      <x:c r="J73" s="90"/>
    </x:row>
    <x:row r="74" ht="20" hidden="0" customHeight="1">
      <x:c r="A74" s="90"/>
      <x:c r="B74" s="90"/>
      <x:c r="C74" s="90"/>
      <x:c r="D74" s="90"/>
      <x:c r="E74" s="90"/>
      <x:c r="F74" s="90"/>
      <x:c r="G74" s="90"/>
      <x:c r="H74" s="90"/>
      <x:c r="I74" s="90"/>
      <x:c r="J74" s="90"/>
    </x:row>
    <x:row r="75" ht="20" hidden="0" customHeight="1">
      <x:c r="A75" s="90"/>
      <x:c r="B75" s="90"/>
      <x:c r="C75" s="90"/>
      <x:c r="D75" s="90"/>
      <x:c r="E75" s="90"/>
      <x:c r="F75" s="90"/>
      <x:c r="G75" s="90"/>
      <x:c r="H75" s="90"/>
      <x:c r="I75" s="90"/>
      <x:c r="J75" s="90"/>
    </x:row>
    <x:row r="76" ht="20" hidden="0" customHeight="1">
      <x:c r="A76" s="90"/>
      <x:c r="B76" s="90"/>
      <x:c r="C76" s="90"/>
      <x:c r="D76" s="90"/>
      <x:c r="E76" s="90"/>
      <x:c r="F76" s="90"/>
      <x:c r="G76" s="90"/>
      <x:c r="H76" s="90"/>
      <x:c r="I76" s="90"/>
      <x:c r="J76" s="90"/>
    </x:row>
    <x:row r="77" ht="20" hidden="0" customHeight="1">
      <x:c r="A77" s="90"/>
      <x:c r="B77" s="90"/>
      <x:c r="C77" s="90"/>
      <x:c r="D77" s="90"/>
      <x:c r="E77" s="90"/>
      <x:c r="F77" s="90"/>
      <x:c r="G77" s="90"/>
      <x:c r="H77" s="90"/>
      <x:c r="I77" s="90"/>
      <x:c r="J77" s="90"/>
    </x:row>
    <x:row r="78" ht="20" hidden="0" customHeight="1">
      <x:c r="A78" s="90"/>
      <x:c r="B78" s="90"/>
      <x:c r="C78" s="90"/>
      <x:c r="D78" s="90"/>
      <x:c r="E78" s="90"/>
      <x:c r="F78" s="90"/>
      <x:c r="G78" s="90"/>
      <x:c r="H78" s="90"/>
      <x:c r="I78" s="90"/>
      <x:c r="J78" s="90"/>
    </x:row>
    <x:row r="79" ht="20" hidden="0" customHeight="1">
      <x:c r="A79" s="90"/>
      <x:c r="B79" s="90"/>
      <x:c r="C79" s="90"/>
      <x:c r="D79" s="90"/>
      <x:c r="E79" s="90"/>
      <x:c r="F79" s="90"/>
      <x:c r="G79" s="90"/>
      <x:c r="H79" s="90"/>
      <x:c r="I79" s="90"/>
      <x:c r="J79" s="90"/>
    </x:row>
    <x:row r="80" ht="20" hidden="0" customHeight="1">
      <x:c r="A80" s="90"/>
      <x:c r="B80" s="90"/>
      <x:c r="C80" s="90"/>
      <x:c r="D80" s="90"/>
      <x:c r="E80" s="90"/>
      <x:c r="F80" s="90"/>
      <x:c r="G80" s="90"/>
      <x:c r="H80" s="90"/>
      <x:c r="I80" s="90"/>
      <x:c r="J80" s="90"/>
    </x:row>
    <x:row r="81" ht="20" customHeight="1">
      <x:c r="A81" s="90"/>
      <x:c r="B81" s="90"/>
      <x:c r="C81" s="90"/>
      <x:c r="D81" s="90"/>
      <x:c r="E81" s="90"/>
      <x:c r="F81" s="90"/>
      <x:c r="G81" s="90"/>
      <x:c r="H81" s="90"/>
      <x:c r="I81" s="90"/>
      <x:c r="J81" s="90"/>
    </x:row>
    <x:row r="82" ht="20" customHeight="1">
      <x:c r="A82" s="90"/>
      <x:c r="B82" s="90"/>
      <x:c r="C82" s="90"/>
      <x:c r="D82" s="90"/>
      <x:c r="E82" s="90"/>
      <x:c r="F82" s="90"/>
      <x:c r="G82" s="90"/>
      <x:c r="H82" s="90"/>
      <x:c r="I82" s="90"/>
      <x:c r="J82" s="90"/>
    </x:row>
    <x:row r="83" ht="20" customHeight="1">
      <x:c r="A83" s="90"/>
      <x:c r="B83" s="90"/>
      <x:c r="C83" s="90"/>
      <x:c r="D83" s="90"/>
      <x:c r="E83" s="90"/>
      <x:c r="F83" s="90"/>
      <x:c r="G83" s="90"/>
      <x:c r="H83" s="90"/>
      <x:c r="I83" s="90"/>
      <x:c r="J83" s="90"/>
    </x:row>
    <x:row r="84" ht="20" customHeight="1">
      <x:c r="A84" s="90"/>
      <x:c r="B84" s="90"/>
      <x:c r="C84" s="90"/>
      <x:c r="D84" s="90"/>
      <x:c r="E84" s="90"/>
      <x:c r="F84" s="90"/>
      <x:c r="G84" s="90"/>
      <x:c r="H84" s="90"/>
      <x:c r="I84" s="90"/>
      <x:c r="J84" s="90"/>
    </x:row>
  </x:sheetData>
  <x:mergeCells>
    <x:mergeCell ref="A1:J1"/>
    <x:mergeCell ref="B2:J3"/>
    <x:mergeCell ref="B8:J8"/>
    <x:mergeCell ref="H10:J10"/>
    <x:mergeCell ref="H11:J11"/>
    <x:mergeCell ref="H12:J12"/>
    <x:mergeCell ref="H13:J13"/>
    <x:mergeCell ref="H14:J14"/>
    <x:mergeCell ref="H15:J15"/>
    <x:mergeCell ref="H16:J16"/>
    <x:mergeCell ref="H17:J17"/>
    <x:mergeCell ref="H18:J18"/>
    <x:mergeCell ref="H19:J19"/>
    <x:mergeCell ref="H20:J20"/>
    <x:mergeCell ref="H21:J21"/>
    <x:mergeCell ref="B23:J23"/>
    <x:mergeCell ref="B46:J49"/>
    <x:mergeCell ref="B51:J54"/>
    <x:mergeCell ref="B56:J59"/>
  </x:mergeCells>
  <x:dataValidations count="1">
    <x:dataValidation type="list" sqref="C5">
      <x:formula1>"1,2,3"</x:formula1>
    </x:dataValidation>
  </x:dataValidations>
  <x:pageMargins left="0.7" right="0.7" top="0.75" bottom="0.75" header="0.3" footer="0.3"/>
</x:worksheet>
</file>

<file path=xl/worksheets/sheet4.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7" width="13" hidden="0" customWidth="1"/>
    <x:col min="3" max="3" width="17" hidden="0" customWidth="1"/>
    <x:col min="4" max="4" width="17" hidden="0" customWidth="1"/>
    <x:col min="5" max="5" width="17" hidden="0" customWidth="1"/>
    <x:col min="6" max="6" width="17" hidden="0" customWidth="1"/>
    <x:col min="7" max="7" width="17" hidden="0" customWidth="1"/>
  </x:cols>
  <x:sheetData>
    <x:row r="1" ht="25.5" hidden="0" customHeight="1">
      <x:c r="A1" s="1" t="s">
        <x:v>0</x:v>
      </x:c>
      <x:c r="B1" s="1"/>
      <x:c r="C1" s="1"/>
      <x:c r="D1" s="1"/>
      <x:c r="E1" s="1"/>
      <x:c r="F1" s="1"/>
      <x:c r="G1" s="1"/>
      <x:c r="H1" s="1"/>
      <x:c r="I1" s="2"/>
      <x:c r="J1" s="2"/>
    </x:row>
    <x:row r="2" ht="13.5" hidden="0" customHeight="1">
      <x:c r="A2" s="253" t="str">
        <x:v>Consolidated financial history. Company-adjusted EBITDA and physician cash distributions are reconciled separately.</x:v>
      </x:c>
      <x:c r="B2" s="3"/>
      <x:c r="C2" s="3"/>
      <x:c r="D2" s="3"/>
      <x:c r="E2" s="3"/>
      <x:c r="F2" s="3"/>
      <x:c r="G2" s="3"/>
      <x:c r="H2" s="3"/>
      <x:c r="I2" s="2"/>
      <x:c r="J2" s="2"/>
    </x:row>
    <x:row r="3" ht="15" hidden="0">
      <x:c r="A3" s="2"/>
      <x:c r="B3" s="2"/>
      <x:c r="C3" s="2"/>
      <x:c r="D3" s="2"/>
      <x:c r="E3" s="2"/>
      <x:c r="F3" s="2"/>
      <x:c r="G3" s="2"/>
      <x:c r="H3" s="2"/>
      <x:c r="I3" s="2"/>
      <x:c r="J3" s="2"/>
    </x:row>
    <x:row r="4" ht="15" hidden="0">
      <x:c r="A4" s="13" t="s">
        <x:v>1</x:v>
      </x:c>
      <x:c r="B4" s="13"/>
      <x:c r="C4" s="13"/>
      <x:c r="D4" s="13"/>
      <x:c r="E4" s="13"/>
      <x:c r="F4" s="13"/>
      <x:c r="G4" s="13"/>
      <x:c r="H4" s="13"/>
      <x:c r="I4" s="2"/>
      <x:c r="J4" s="2"/>
    </x:row>
    <x:row r="5" ht="15" hidden="0">
      <x:c r="A5" s="2"/>
      <x:c r="B5" s="6" t="s">
        <x:v>2</x:v>
      </x:c>
      <x:c r="C5" s="14" t="s">
        <x:v>3</x:v>
      </x:c>
      <x:c r="D5" s="14" t="s">
        <x:v>4</x:v>
      </x:c>
      <x:c r="E5" s="14" t="s">
        <x:v>5</x:v>
      </x:c>
      <x:c r="F5" s="14" t="s">
        <x:v>6</x:v>
      </x:c>
      <x:c r="G5" s="14" t="s">
        <x:v>7</x:v>
      </x:c>
      <x:c r="H5" s="2"/>
      <x:c r="I5" s="2"/>
      <x:c r="J5" s="2"/>
    </x:row>
    <x:row r="6" ht="15" hidden="0">
      <x:c r="A6" s="2"/>
      <x:c r="B6" s="2"/>
      <x:c r="C6" s="34" t="s">
        <x:v>8</x:v>
      </x:c>
      <x:c r="D6" s="34" t="s">
        <x:v>9</x:v>
      </x:c>
      <x:c r="E6" s="34" t="s">
        <x:v>10</x:v>
      </x:c>
      <x:c r="F6" s="34" t="s">
        <x:v>11</x:v>
      </x:c>
      <x:c r="G6" s="34" t="s">
        <x:v>12</x:v>
      </x:c>
      <x:c r="H6" s="2"/>
      <x:c r="I6" s="2"/>
      <x:c r="J6" s="2"/>
    </x:row>
    <x:row r="7" ht="15" hidden="0">
      <x:c r="A7" s="2"/>
      <x:c r="B7" s="10" t="s">
        <x:v>13</x:v>
      </x:c>
      <x:c r="C7" s="252" t="n">
        <x:v>2225.1</x:v>
      </x:c>
      <x:c r="D7" s="252" t="n">
        <x:v>2539.3</x:v>
      </x:c>
      <x:c r="E7" s="252" t="n">
        <x:v>2743.3</x:v>
      </x:c>
      <x:c r="F7" s="252" t="n">
        <x:v>3114.3</x:v>
      </x:c>
      <x:c r="G7" s="252" t="n">
        <x:v>3308.7</x:v>
      </x:c>
      <x:c r="H7" s="2"/>
      <x:c r="I7" s="2"/>
      <x:c r="J7" s="2"/>
    </x:row>
    <x:row r="8" ht="15" hidden="0">
      <x:c r="A8" s="2"/>
      <x:c r="B8" s="10" t="s">
        <x:v>14</x:v>
      </x:c>
      <x:c r="C8" s="252" t="n">
        <x:v>302.2</x:v>
      </x:c>
      <x:c r="D8" s="252" t="n">
        <x:v>345.2</x:v>
      </x:c>
      <x:c r="E8" s="252" t="n">
        <x:v>328</x:v>
      </x:c>
      <x:c r="F8" s="252" t="n">
        <x:v>348.8</x:v>
      </x:c>
      <x:c r="G8" s="252" t="n">
        <x:v>389.5</x:v>
      </x:c>
      <x:c r="H8" s="2"/>
      <x:c r="I8" s="2"/>
      <x:c r="J8" s="2"/>
    </x:row>
    <x:row r="9" ht="15" hidden="0">
      <x:c r="A9" s="2"/>
      <x:c r="B9" s="36" t="s">
        <x:v>15</x:v>
      </x:c>
      <x:c r="C9" s="37" t="n">
        <x:v>98.8</x:v>
      </x:c>
      <x:c r="D9" s="37" t="n">
        <x:v>114.8</x:v>
      </x:c>
      <x:c r="E9" s="37" t="n">
        <x:v>118.1</x:v>
      </x:c>
      <x:c r="F9" s="37" t="n">
        <x:v>152.6</x:v>
      </x:c>
      <x:c r="G9" s="37" t="n">
        <x:v>176</x:v>
      </x:c>
      <x:c r="H9" s="2"/>
      <x:c r="I9" s="2"/>
      <x:c r="J9" s="2"/>
    </x:row>
    <x:row r="10" ht="15" hidden="0">
      <x:c r="A10" s="2"/>
      <x:c r="B10" s="10" t="s">
        <x:v>16</x:v>
      </x:c>
      <x:c r="C10" s="35" t="n">
        <x:f aca="0">C8+C9</x:f>
        <x:v>401</x:v>
      </x:c>
      <x:c r="D10" s="35" t="n">
        <x:f aca="0">D8+D9</x:f>
        <x:v>460</x:v>
      </x:c>
      <x:c r="E10" s="35" t="n">
        <x:f aca="0">E8+E9</x:f>
        <x:v>446.1</x:v>
      </x:c>
      <x:c r="F10" s="35" t="n">
        <x:f aca="0">F8+F9</x:f>
        <x:v>501.4</x:v>
      </x:c>
      <x:c r="G10" s="35" t="n">
        <x:f aca="0">G8+G9</x:f>
        <x:v>565.5</x:v>
      </x:c>
      <x:c r="H10" s="2"/>
      <x:c r="I10" s="2"/>
      <x:c r="J10" s="2"/>
    </x:row>
    <x:row r="11" ht="15" hidden="0">
      <x:c r="A11" s="2"/>
      <x:c r="B11" s="293" t="str">
        <x:v>Net loss attributable to common stockholders</x:v>
      </x:c>
      <x:c r="C11" s="38" t="n">
        <x:v>-81.2</x:v>
      </x:c>
      <x:c r="D11" s="38" t="n">
        <x:v>-54.6</x:v>
      </x:c>
      <x:c r="E11" s="38" t="n">
        <x:v>-11.9</x:v>
      </x:c>
      <x:c r="F11" s="38" t="n">
        <x:v>-168.1</x:v>
      </x:c>
      <x:c r="G11" s="38" t="n">
        <x:v>-77.9</x:v>
      </x:c>
      <x:c r="H11" s="2"/>
      <x:c r="I11" s="2"/>
      <x:c r="J11" s="2"/>
    </x:row>
    <x:row r="12" ht="15" hidden="0">
      <x:c r="A12" s="2"/>
      <x:c r="B12" s="255" t="str">
        <x:v>FY2021 includes $10.3m allocated to participating securities.</x:v>
      </x:c>
      <x:c r="C12" s="256"/>
      <x:c r="D12" s="256"/>
      <x:c r="E12" s="256"/>
      <x:c r="F12" s="256"/>
      <x:c r="G12" s="256"/>
      <x:c r="H12" s="256"/>
      <x:c r="I12" s="256"/>
      <x:c r="J12" s="256"/>
    </x:row>
    <x:row r="13" ht="15" hidden="0">
      <x:c r="A13" s="2"/>
      <x:c r="B13" s="2"/>
      <x:c r="C13" s="2"/>
      <x:c r="D13" s="2"/>
      <x:c r="E13" s="2"/>
      <x:c r="F13" s="2"/>
      <x:c r="G13" s="2"/>
      <x:c r="H13" s="2"/>
      <x:c r="I13" s="2"/>
      <x:c r="J13" s="2"/>
    </x:row>
    <x:row r="14" ht="15" hidden="0">
      <x:c r="A14" s="13" t="s">
        <x:v>17</x:v>
      </x:c>
      <x:c r="B14" s="13"/>
      <x:c r="C14" s="13"/>
      <x:c r="D14" s="13"/>
      <x:c r="E14" s="13"/>
      <x:c r="F14" s="13"/>
      <x:c r="G14" s="13"/>
      <x:c r="H14" s="13"/>
      <x:c r="I14" s="2"/>
      <x:c r="J14" s="2"/>
    </x:row>
    <x:row r="15" ht="15" hidden="0">
      <x:c r="A15" s="2"/>
      <x:c r="B15" s="36" t="s">
        <x:v>18</x:v>
      </x:c>
      <x:c r="C15" s="37" t="n">
        <x:v>87.1</x:v>
      </x:c>
      <x:c r="D15" s="37" t="n">
        <x:v>158.8</x:v>
      </x:c>
      <x:c r="E15" s="37" t="n">
        <x:v>293.8</x:v>
      </x:c>
      <x:c r="F15" s="37" t="n">
        <x:v>300.1</x:v>
      </x:c>
      <x:c r="G15" s="37" t="n">
        <x:v>274.3</x:v>
      </x:c>
      <x:c r="H15" s="2"/>
      <x:c r="I15" s="2"/>
      <x:c r="J15" s="2"/>
    </x:row>
    <x:row r="16" ht="15" hidden="0">
      <x:c r="A16" s="2"/>
      <x:c r="B16" s="36" t="s">
        <x:v>19</x:v>
      </x:c>
      <x:c r="C16" s="37" t="n">
        <x:v>-57.6</x:v>
      </x:c>
      <x:c r="D16" s="37" t="n">
        <x:v>-80.6</x:v>
      </x:c>
      <x:c r="E16" s="37" t="n">
        <x:v>-88.8</x:v>
      </x:c>
      <x:c r="F16" s="37" t="n">
        <x:v>-90.4</x:v>
      </x:c>
      <x:c r="G16" s="37" t="n">
        <x:v>-78.7</x:v>
      </x:c>
      <x:c r="H16" s="2"/>
      <x:c r="I16" s="2"/>
      <x:c r="J16" s="2"/>
    </x:row>
    <x:row r="17" ht="15" hidden="0">
      <x:c r="A17" s="2"/>
      <x:c r="B17" s="36" t="s">
        <x:v>20</x:v>
      </x:c>
      <x:c r="C17" s="37" t="n">
        <x:v>17.4</x:v>
      </x:c>
      <x:c r="D17" s="37" t="n">
        <x:v>18.4</x:v>
      </x:c>
      <x:c r="E17" s="37" t="n">
        <x:v>17.7</x:v>
      </x:c>
      <x:c r="F17" s="37" t="n">
        <x:v>33.3</x:v>
      </x:c>
      <x:c r="G17" s="37" t="n">
        <x:v>14.8</x:v>
      </x:c>
      <x:c r="H17" s="2"/>
      <x:c r="I17" s="2"/>
      <x:c r="J17" s="2"/>
    </x:row>
    <x:row r="18" ht="15" hidden="0">
      <x:c r="A18" s="2"/>
      <x:c r="B18" s="36" t="s">
        <x:v>21</x:v>
      </x:c>
      <x:c r="C18" s="37" t="n">
        <x:v>-285.8</x:v>
      </x:c>
      <x:c r="D18" s="37" t="n">
        <x:v>-146.4</x:v>
      </x:c>
      <x:c r="E18" s="37" t="n">
        <x:v>-80</x:v>
      </x:c>
      <x:c r="F18" s="37" t="n">
        <x:v>-378.8</x:v>
      </x:c>
      <x:c r="G18" s="37" t="n">
        <x:v>-162.1</x:v>
      </x:c>
      <x:c r="H18" s="2"/>
      <x:c r="I18" s="2"/>
      <x:c r="J18" s="2"/>
    </x:row>
    <x:row r="19" ht="15" hidden="0">
      <x:c r="A19" s="2"/>
      <x:c r="B19" s="293" t="str">
        <x:v>Cash after total capex, before NCI distributions</x:v>
      </x:c>
      <x:c r="C19" s="35" t="n">
        <x:f aca="0">C15+C16</x:f>
        <x:v>29.499999999999993</x:v>
      </x:c>
      <x:c r="D19" s="35" t="n">
        <x:f aca="0">D15+D16</x:f>
        <x:v>78.20000000000002</x:v>
      </x:c>
      <x:c r="E19" s="35" t="n">
        <x:f aca="0">E15+E16</x:f>
        <x:v>205</x:v>
      </x:c>
      <x:c r="F19" s="35" t="n">
        <x:f aca="0">F15+F16</x:f>
        <x:v>209.70000000000002</x:v>
      </x:c>
      <x:c r="G19" s="35" t="n">
        <x:f aca="0">G15+G16</x:f>
        <x:v>195.60000000000002</x:v>
      </x:c>
      <x:c r="H19" s="2"/>
      <x:c r="I19" s="2"/>
      <x:c r="J19" s="2"/>
    </x:row>
    <x:row r="20" ht="15" hidden="0">
      <x:c r="A20" s="2"/>
      <x:c r="B20" s="2"/>
      <x:c r="C20" s="2"/>
      <x:c r="D20" s="2"/>
      <x:c r="E20" s="2"/>
      <x:c r="F20" s="2"/>
      <x:c r="G20" s="2"/>
      <x:c r="H20" s="2"/>
      <x:c r="I20" s="2"/>
      <x:c r="J20" s="2"/>
    </x:row>
    <x:row r="21" ht="15" hidden="0">
      <x:c r="A21" s="2"/>
      <x:c r="B21" s="257" t="str">
        <x:v>FY2021–2025 figures use the FY2022, FY2023 and FY2025 earnings releases and their comparative tables. Operating cash flow is before physician distributions; company-reported free cash flow can use maintenance capex only, unlike the total-capex calculation here.</x:v>
      </x:c>
      <x:c r="C21" s="258"/>
      <x:c r="D21" s="258"/>
      <x:c r="E21" s="258"/>
      <x:c r="F21" s="258"/>
      <x:c r="G21" s="258"/>
      <x:c r="H21" s="258"/>
      <x:c r="I21" s="258"/>
      <x:c r="J21" s="258"/>
    </x:row>
    <x:row r="22" ht="15" hidden="0">
      <x:c r="A22" s="2"/>
      <x:c r="B22" s="258"/>
      <x:c r="C22" s="258"/>
      <x:c r="D22" s="258"/>
      <x:c r="E22" s="258"/>
      <x:c r="F22" s="258"/>
      <x:c r="G22" s="258"/>
      <x:c r="H22" s="258"/>
      <x:c r="I22" s="258"/>
      <x:c r="J22" s="258"/>
    </x:row>
    <x:row r="23" ht="15" hidden="0">
      <x:c r="A23" s="2"/>
      <x:c r="B23" s="258"/>
      <x:c r="C23" s="258"/>
      <x:c r="D23" s="258"/>
      <x:c r="E23" s="258"/>
      <x:c r="F23" s="258"/>
      <x:c r="G23" s="258"/>
      <x:c r="H23" s="258"/>
      <x:c r="I23" s="258"/>
      <x:c r="J23" s="258"/>
    </x:row>
    <x:row r="24" ht="15" hidden="0">
      <x:c r="A24" s="2"/>
      <x:c r="B24" s="258"/>
      <x:c r="C24" s="258"/>
      <x:c r="D24" s="258"/>
      <x:c r="E24" s="258"/>
      <x:c r="F24" s="258"/>
      <x:c r="G24" s="258"/>
      <x:c r="H24" s="258"/>
      <x:c r="I24" s="258"/>
      <x:c r="J24" s="258"/>
    </x:row>
    <x:row r="25" ht="15" hidden="0">
      <x:c r="A25" s="2"/>
      <x:c r="B25" s="2"/>
      <x:c r="C25" s="2"/>
      <x:c r="D25" s="2"/>
      <x:c r="E25" s="2"/>
      <x:c r="F25" s="2"/>
      <x:c r="G25" s="2"/>
      <x:c r="H25" s="2"/>
      <x:c r="I25" s="2"/>
      <x:c r="J25" s="2"/>
    </x:row>
    <x:row r="26" ht="15" hidden="0">
      <x:c r="A26" s="2"/>
      <x:c r="B26" s="259" t="str">
        <x:v>NCI cash distributions</x:v>
      </x:c>
      <x:c r="C26" s="260" t="n">
        <x:v>-131</x:v>
      </x:c>
      <x:c r="D26" s="260" t="n">
        <x:v>-146.8</x:v>
      </x:c>
      <x:c r="E26" s="260" t="n">
        <x:v>-146.1</x:v>
      </x:c>
      <x:c r="F26" s="260" t="n">
        <x:v>-170.5</x:v>
      </x:c>
      <x:c r="G26" s="260" t="n">
        <x:v>-226</x:v>
      </x:c>
      <x:c r="H26" s="2"/>
      <x:c r="I26" s="2"/>
      <x:c r="J26" s="2"/>
    </x:row>
    <x:row r="27" ht="15" hidden="0">
      <x:c r="A27" s="2"/>
      <x:c r="B27" s="259" t="str">
        <x:v>Cash after capex and physician distributions</x:v>
      </x:c>
      <x:c r="C27" s="260" t="n">
        <x:f>C19+C26</x:f>
        <x:v>-101.5</x:v>
      </x:c>
      <x:c r="D27" s="260" t="n">
        <x:f>D19+D26</x:f>
        <x:v>-68.6</x:v>
      </x:c>
      <x:c r="E27" s="260" t="n">
        <x:f>E19+E26</x:f>
        <x:v>58.900000000000006</x:v>
      </x:c>
      <x:c r="F27" s="260" t="n">
        <x:f>F19+F26</x:f>
        <x:v>39.20000000000002</x:v>
      </x:c>
      <x:c r="G27" s="260" t="n">
        <x:f>G19+G26</x:f>
        <x:v>-30.399999999999977</x:v>
      </x:c>
      <x:c r="H27" s="2"/>
      <x:c r="I27" s="2"/>
      <x:c r="J27" s="2"/>
    </x:row>
    <x:row r="28" ht="15" hidden="0">
      <x:c r="A28" s="2"/>
      <x:c r="B28" s="2"/>
      <x:c r="C28" s="2"/>
      <x:c r="D28" s="2"/>
      <x:c r="E28" s="2"/>
      <x:c r="F28" s="2"/>
      <x:c r="G28" s="2"/>
      <x:c r="H28" s="2"/>
      <x:c r="I28" s="2"/>
      <x:c r="J28" s="2"/>
    </x:row>
    <x:row r="29" ht="15" hidden="0">
      <x:c r="A29" s="2"/>
      <x:c r="B29" s="259" t="str">
        <x:v>Company Adjusted EBITDA</x:v>
      </x:c>
      <x:c r="C29" s="260" t="n">
        <x:v>339.6</x:v>
      </x:c>
      <x:c r="D29" s="260" t="n">
        <x:v>380.2</x:v>
      </x:c>
      <x:c r="E29" s="260" t="n">
        <x:v>438.1</x:v>
      </x:c>
      <x:c r="F29" s="260" t="n">
        <x:v>508.2</x:v>
      </x:c>
      <x:c r="G29" s="260" t="n">
        <x:v>526.2</x:v>
      </x:c>
      <x:c r="H29" s="2"/>
      <x:c r="I29" s="2"/>
      <x:c r="J29" s="2"/>
    </x:row>
    <x:row r="30" ht="15" hidden="0">
      <x:c r="A30" s="2"/>
      <x:c r="B30" s="2"/>
      <x:c r="C30" s="2"/>
      <x:c r="D30" s="2"/>
      <x:c r="E30" s="2"/>
      <x:c r="F30" s="2"/>
      <x:c r="G30" s="2"/>
      <x:c r="H30" s="2"/>
      <x:c r="I30" s="2"/>
      <x:c r="J30" s="2"/>
    </x:row>
    <x:row r="31" ht="15" hidden="0">
      <x:c r="A31" s="2"/>
      <x:c r="B31" s="2"/>
      <x:c r="C31" s="2"/>
      <x:c r="D31" s="2"/>
      <x:c r="E31" s="2"/>
      <x:c r="F31" s="2"/>
      <x:c r="G31" s="2"/>
      <x:c r="H31" s="2"/>
      <x:c r="I31" s="2"/>
      <x:c r="J31" s="2"/>
    </x:row>
    <x:row r="32" ht="15" hidden="0">
      <x:c r="A32" s="2"/>
      <x:c r="B32" s="2"/>
      <x:c r="C32" s="2"/>
      <x:c r="D32" s="2"/>
      <x:c r="E32" s="2"/>
      <x:c r="F32" s="2"/>
      <x:c r="G32" s="2"/>
      <x:c r="H32" s="2"/>
      <x:c r="I32" s="2"/>
      <x:c r="J32" s="2"/>
    </x:row>
    <x:row r="33" ht="15" hidden="0">
      <x:c r="A33" s="2"/>
      <x:c r="B33" s="2"/>
      <x:c r="C33" s="2"/>
      <x:c r="D33" s="2"/>
      <x:c r="E33" s="2"/>
      <x:c r="F33" s="2"/>
      <x:c r="G33" s="2"/>
      <x:c r="H33" s="2"/>
      <x:c r="I33" s="2"/>
      <x:c r="J33" s="2"/>
    </x:row>
    <x:row r="34" ht="15" hidden="0">
      <x:c r="A34" s="2"/>
      <x:c r="B34" s="2"/>
      <x:c r="C34" s="2"/>
      <x:c r="D34" s="2"/>
      <x:c r="E34" s="2"/>
      <x:c r="F34" s="2"/>
      <x:c r="G34" s="2"/>
      <x:c r="H34" s="2"/>
      <x:c r="I34" s="2"/>
      <x:c r="J34" s="2"/>
    </x:row>
    <x:row r="35" ht="15" hidden="0">
      <x:c r="A35" s="2"/>
      <x:c r="B35" s="2"/>
      <x:c r="C35" s="2"/>
      <x:c r="D35" s="2"/>
      <x:c r="E35" s="2"/>
      <x:c r="F35" s="2"/>
      <x:c r="G35" s="2"/>
      <x:c r="H35" s="2"/>
      <x:c r="I35" s="2"/>
      <x:c r="J35" s="2"/>
    </x:row>
    <x:row r="36" ht="15" hidden="0">
      <x:c r="A36" s="2"/>
      <x:c r="B36" s="2"/>
      <x:c r="C36" s="2"/>
      <x:c r="D36" s="2"/>
      <x:c r="E36" s="2"/>
      <x:c r="F36" s="2"/>
      <x:c r="G36" s="2"/>
      <x:c r="H36" s="2"/>
      <x:c r="I36" s="2"/>
      <x:c r="J36" s="2"/>
    </x:row>
    <x:row r="37" ht="15" hidden="0">
      <x:c r="A37" s="2"/>
      <x:c r="B37" s="2"/>
      <x:c r="C37" s="2"/>
      <x:c r="D37" s="2"/>
      <x:c r="E37" s="2"/>
      <x:c r="F37" s="2"/>
      <x:c r="G37" s="2"/>
      <x:c r="H37" s="2"/>
      <x:c r="I37" s="2"/>
      <x:c r="J37" s="2"/>
    </x:row>
    <x:row r="38" ht="15" hidden="0">
      <x:c r="A38" s="2"/>
      <x:c r="B38" s="2"/>
      <x:c r="C38" s="2"/>
      <x:c r="D38" s="2"/>
      <x:c r="E38" s="2"/>
      <x:c r="F38" s="2"/>
      <x:c r="G38" s="2"/>
      <x:c r="H38" s="2"/>
      <x:c r="I38" s="2"/>
      <x:c r="J38" s="2"/>
    </x:row>
    <x:row r="39" ht="15" hidden="0">
      <x:c r="A39" s="2"/>
      <x:c r="B39" s="2"/>
      <x:c r="C39" s="2"/>
      <x:c r="D39" s="2"/>
      <x:c r="E39" s="2"/>
      <x:c r="F39" s="2"/>
      <x:c r="G39" s="2"/>
      <x:c r="H39" s="2"/>
      <x:c r="I39" s="2"/>
      <x:c r="J39" s="2"/>
    </x:row>
    <x:row r="40" ht="15" hidden="0">
      <x:c r="A40" s="2"/>
      <x:c r="B40" s="2"/>
      <x:c r="C40" s="2"/>
      <x:c r="D40" s="2"/>
      <x:c r="E40" s="2"/>
      <x:c r="F40" s="2"/>
      <x:c r="G40" s="2"/>
      <x:c r="H40" s="2"/>
      <x:c r="I40" s="2"/>
      <x:c r="J40" s="2"/>
    </x:row>
    <x:row r="41" ht="15" hidden="0">
      <x:c r="A41" s="2"/>
      <x:c r="B41" s="2"/>
      <x:c r="C41" s="2"/>
      <x:c r="D41" s="2"/>
      <x:c r="E41" s="2"/>
      <x:c r="F41" s="2"/>
      <x:c r="G41" s="2"/>
      <x:c r="H41" s="2"/>
      <x:c r="I41" s="2"/>
      <x:c r="J41" s="2"/>
    </x:row>
    <x:row r="42" ht="15" hidden="0">
      <x:c r="A42" s="2"/>
      <x:c r="B42" s="2"/>
      <x:c r="C42" s="2"/>
      <x:c r="D42" s="2"/>
      <x:c r="E42" s="2"/>
      <x:c r="F42" s="2"/>
      <x:c r="G42" s="2"/>
      <x:c r="H42" s="2"/>
      <x:c r="I42" s="2"/>
      <x:c r="J42" s="2"/>
    </x:row>
    <x:row r="43" ht="15" hidden="0">
      <x:c r="A43" s="2"/>
      <x:c r="B43" s="2"/>
      <x:c r="C43" s="2"/>
      <x:c r="D43" s="2"/>
      <x:c r="E43" s="2"/>
      <x:c r="F43" s="2"/>
      <x:c r="G43" s="2"/>
      <x:c r="H43" s="2"/>
      <x:c r="I43" s="2"/>
      <x:c r="J43" s="2"/>
    </x:row>
    <x:row r="44" ht="15" hidden="0">
      <x:c r="A44" s="2"/>
      <x:c r="B44" s="2"/>
      <x:c r="C44" s="2"/>
      <x:c r="D44" s="2"/>
      <x:c r="E44" s="2"/>
      <x:c r="F44" s="2"/>
      <x:c r="G44" s="2"/>
      <x:c r="H44" s="2"/>
      <x:c r="I44" s="2"/>
      <x:c r="J44" s="2"/>
    </x:row>
    <x:row r="45" ht="15" hidden="0">
      <x:c r="A45" s="2"/>
      <x:c r="B45" s="2"/>
      <x:c r="C45" s="2"/>
      <x:c r="D45" s="2"/>
      <x:c r="E45" s="2"/>
      <x:c r="F45" s="2"/>
      <x:c r="G45" s="2"/>
      <x:c r="H45" s="2"/>
      <x:c r="I45" s="2"/>
      <x:c r="J45" s="2"/>
    </x:row>
    <x:row r="46" ht="15" hidden="0">
      <x:c r="A46" s="2"/>
      <x:c r="B46" s="2"/>
      <x:c r="C46" s="2"/>
      <x:c r="D46" s="2"/>
      <x:c r="E46" s="2"/>
      <x:c r="F46" s="2"/>
      <x:c r="G46" s="2"/>
      <x:c r="H46" s="2"/>
      <x:c r="I46" s="2"/>
      <x:c r="J46" s="2"/>
    </x:row>
    <x:row r="47" ht="15" hidden="0">
      <x:c r="A47" s="2"/>
      <x:c r="B47" s="2"/>
      <x:c r="C47" s="2"/>
      <x:c r="D47" s="2"/>
      <x:c r="E47" s="2"/>
      <x:c r="F47" s="2"/>
      <x:c r="G47" s="2"/>
      <x:c r="H47" s="2"/>
      <x:c r="I47" s="2"/>
      <x:c r="J47" s="2"/>
    </x:row>
    <x:row r="48" ht="15" hidden="0">
      <x:c r="A48" s="2"/>
      <x:c r="B48" s="2"/>
      <x:c r="C48" s="2"/>
      <x:c r="D48" s="2"/>
      <x:c r="E48" s="2"/>
      <x:c r="F48" s="2"/>
      <x:c r="G48" s="2"/>
      <x:c r="H48" s="2"/>
      <x:c r="I48" s="2"/>
      <x:c r="J48" s="2"/>
    </x:row>
    <x:row r="49" ht="15" hidden="0">
      <x:c r="A49" s="2"/>
      <x:c r="B49" s="2"/>
      <x:c r="C49" s="2"/>
      <x:c r="D49" s="2"/>
      <x:c r="E49" s="2"/>
      <x:c r="F49" s="2"/>
      <x:c r="G49" s="2"/>
      <x:c r="H49" s="2"/>
      <x:c r="I49" s="2"/>
      <x:c r="J49" s="2"/>
    </x:row>
    <x:row r="50" ht="15" hidden="0">
      <x:c r="A50" s="2"/>
      <x:c r="B50" s="2"/>
      <x:c r="C50" s="2"/>
      <x:c r="D50" s="2"/>
      <x:c r="E50" s="2"/>
      <x:c r="F50" s="2"/>
      <x:c r="G50" s="2"/>
      <x:c r="H50" s="2"/>
      <x:c r="I50" s="2"/>
      <x:c r="J50" s="2"/>
    </x:row>
  </x:sheetData>
  <x:mergeCells>
    <x:mergeCell ref="A1:H1"/>
    <x:mergeCell ref="A2:H2"/>
    <x:mergeCell ref="A4:H4"/>
    <x:mergeCell ref="A14:H14"/>
    <x:mergeCell ref="B21:J24"/>
    <x:mergeCell ref="B12:J12"/>
  </x:mergeCells>
  <x:pageMargins left="0.7" right="0.7" top="0.75" bottom="0.75" header="0.3" footer="0.3"/>
  <x:legacyDrawing xmlns:r="http://schemas.openxmlformats.org/officeDocument/2006/relationships" r:id="R84ad2d9e44844056"/>
</x:worksheet>
</file>

<file path=xl/worksheets/sheet5.xml><?xml version="1.0" encoding="utf-8"?>
<x:worksheet xmlns:x="http://schemas.openxmlformats.org/spreadsheetml/2006/main">
  <x:sheetPr>
    <x:tabColor rgb="FFFF0000"/>
  </x:sheetPr>
  <x:sheetViews>
    <x:sheetView showGridLines="0" workbookViewId="0"/>
  </x:sheetViews>
  <x:sheetFormatPr defaultColWidth="8.6796875" defaultRowHeight="15"/>
  <x:cols>
    <x:col min="1" max="1" width="2" hidden="0" customWidth="1"/>
    <x:col min="2" max="2" width="49" hidden="0" customWidth="1"/>
    <x:col min="3" max="4" width="15"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OWNERSHIP AND CASH</x:v>
      </x:c>
      <x:c r="B1" s="113"/>
      <x:c r="C1" s="113"/>
      <x:c r="D1" s="113"/>
      <x:c r="E1" s="113"/>
      <x:c r="F1" s="113"/>
      <x:c r="G1" s="113"/>
      <x:c r="H1" s="113"/>
      <x:c r="I1" s="114"/>
      <x:c r="J1" s="114"/>
    </x:row>
    <x:row r="2" ht="20" hidden="0" customHeight="1">
      <x:c r="A2" s="103"/>
      <x:c r="B2" s="117" t="str">
        <x:v>Company Adjusted EBITDA already deducts NCI net income. Physician cash distributions are a separate cash-flow item.</x:v>
      </x:c>
      <x:c r="C2" s="117"/>
      <x:c r="D2" s="117"/>
      <x:c r="E2" s="117"/>
      <x:c r="F2" s="117"/>
      <x:c r="G2" s="117"/>
      <x:c r="H2" s="117"/>
      <x:c r="I2" s="118"/>
      <x:c r="J2" s="118"/>
    </x:row>
    <x:row r="3" ht="20" hidden="0" customHeight="1">
      <x:c r="A3" s="90"/>
      <x:c r="B3" s="118"/>
      <x:c r="C3" s="118"/>
      <x:c r="D3" s="118"/>
      <x:c r="E3" s="118"/>
      <x:c r="F3" s="118"/>
      <x:c r="G3" s="118"/>
      <x:c r="H3" s="118"/>
      <x:c r="I3" s="118"/>
      <x:c r="J3" s="118"/>
    </x:row>
    <x:row r="4" ht="20" hidden="0" customHeight="1">
      <x:c r="A4" s="90"/>
      <x:c r="B4" s="158"/>
      <x:c r="C4" s="158"/>
      <x:c r="D4" s="158"/>
      <x:c r="E4" s="158"/>
      <x:c r="F4" s="158"/>
      <x:c r="G4" s="158"/>
      <x:c r="H4" s="158"/>
      <x:c r="I4" s="90"/>
      <x:c r="J4" s="90"/>
    </x:row>
    <x:row r="5" ht="24" hidden="0" customHeight="1">
      <x:c r="A5" s="90"/>
      <x:c r="B5" s="168" t="str">
        <x:v>H1 2026 COMPANY EBITDA RECONCILIATION</x:v>
      </x:c>
      <x:c r="C5" s="168"/>
      <x:c r="D5" s="168"/>
      <x:c r="E5" s="168"/>
      <x:c r="F5" s="168"/>
      <x:c r="G5" s="168"/>
      <x:c r="H5" s="168"/>
      <x:c r="I5" s="121"/>
      <x:c r="J5" s="121"/>
    </x:row>
    <x:row r="6" ht="20" hidden="0" customHeight="1">
      <x:c r="A6" s="90"/>
      <x:c r="B6" s="158" t="str">
        <x:v>Pretax income</x:v>
      </x:c>
      <x:c r="C6" s="170" t="n">
        <x:f>'Source Inputs'!C31</x:f>
        <x:v>29</x:v>
      </x:c>
      <x:c r="D6" s="158"/>
      <x:c r="E6" s="158"/>
      <x:c r="F6" s="158"/>
      <x:c r="G6" s="158"/>
      <x:c r="H6" s="158"/>
      <x:c r="I6" s="90"/>
      <x:c r="J6" s="90"/>
    </x:row>
    <x:row r="7" ht="20" hidden="0" customHeight="1">
      <x:c r="A7" s="90"/>
      <x:c r="B7" s="90" t="str">
        <x:v>Less: NCI net income</x:v>
      </x:c>
      <x:c r="C7" s="157" t="n">
        <x:f>-'Source Inputs'!C22</x:f>
        <x:v>-78.5</x:v>
      </x:c>
      <x:c r="D7" s="90"/>
      <x:c r="E7" s="90"/>
      <x:c r="F7" s="90"/>
      <x:c r="G7" s="90"/>
      <x:c r="H7" s="90"/>
      <x:c r="I7" s="90"/>
      <x:c r="J7" s="90"/>
    </x:row>
    <x:row r="8" ht="20" hidden="0" customHeight="1">
      <x:c r="A8" s="88"/>
      <x:c r="B8" s="88" t="str">
        <x:v>Net interest</x:v>
      </x:c>
      <x:c r="C8" s="172" t="n">
        <x:f>'Source Inputs'!C32</x:f>
        <x:v>138.9</x:v>
      </x:c>
      <x:c r="D8" s="88"/>
      <x:c r="E8" s="88"/>
      <x:c r="F8" s="88"/>
      <x:c r="G8" s="90"/>
      <x:c r="H8" s="90"/>
      <x:c r="I8" s="90"/>
      <x:c r="J8" s="90"/>
    </x:row>
    <x:row r="9" ht="20" hidden="0" customHeight="1">
      <x:c r="A9" s="90"/>
      <x:c r="B9" s="90" t="str">
        <x:v>D&amp;A</x:v>
      </x:c>
      <x:c r="C9" s="157" t="n">
        <x:f>'Source Inputs'!C21</x:f>
        <x:v>77.8</x:v>
      </x:c>
      <x:c r="D9" s="90"/>
      <x:c r="E9" s="90"/>
      <x:c r="F9" s="90"/>
      <x:c r="G9" s="90"/>
      <x:c r="H9" s="90"/>
      <x:c r="I9" s="90"/>
      <x:c r="J9" s="90"/>
    </x:row>
    <x:row r="10" ht="20" hidden="0" customHeight="1">
      <x:c r="A10" s="90"/>
      <x:c r="B10" s="90" t="str">
        <x:v>SBC</x:v>
      </x:c>
      <x:c r="C10" s="157" t="n">
        <x:f>'Source Inputs'!C26</x:f>
        <x:v>9.6</x:v>
      </x:c>
      <x:c r="D10" s="90"/>
      <x:c r="E10" s="90"/>
      <x:c r="F10" s="90"/>
      <x:c r="G10" s="90"/>
      <x:c r="H10" s="90"/>
      <x:c r="I10" s="90"/>
      <x:c r="J10" s="90"/>
    </x:row>
    <x:row r="11" ht="20" hidden="0" customHeight="1">
      <x:c r="A11" s="90"/>
      <x:c r="B11" s="90" t="str">
        <x:v>Transaction and integration</x:v>
      </x:c>
      <x:c r="C11" s="157" t="n">
        <x:f>'Source Inputs'!C27</x:f>
        <x:v>34</x:v>
      </x:c>
      <x:c r="D11" s="90"/>
      <x:c r="E11" s="90"/>
      <x:c r="F11" s="90"/>
      <x:c r="G11" s="90"/>
      <x:c r="H11" s="90"/>
      <x:c r="I11" s="90"/>
      <x:c r="J11" s="90"/>
    </x:row>
    <x:row r="12" ht="20" hidden="0" customHeight="1">
      <x:c r="A12" s="90"/>
      <x:c r="B12" s="90" t="str">
        <x:v>De novo start-up</x:v>
      </x:c>
      <x:c r="C12" s="157" t="n">
        <x:f>'Source Inputs'!C28</x:f>
        <x:v>3.1</x:v>
      </x:c>
      <x:c r="D12" s="90"/>
      <x:c r="E12" s="90"/>
      <x:c r="F12" s="90"/>
      <x:c r="G12" s="90"/>
      <x:c r="H12" s="90"/>
      <x:c r="I12" s="90"/>
      <x:c r="J12" s="90"/>
    </x:row>
    <x:row r="13" ht="20" hidden="0" customHeight="1">
      <x:c r="A13" s="90"/>
      <x:c r="B13" s="90" t="str">
        <x:v>Disposal losses</x:v>
      </x:c>
      <x:c r="C13" s="157" t="n">
        <x:f>'Source Inputs'!C29</x:f>
        <x:v>6.7</x:v>
      </x:c>
      <x:c r="D13" s="90"/>
      <x:c r="E13" s="90"/>
      <x:c r="F13" s="90"/>
      <x:c r="G13" s="90"/>
      <x:c r="H13" s="90"/>
      <x:c r="I13" s="90"/>
      <x:c r="J13" s="90"/>
    </x:row>
    <x:row r="14" ht="20" hidden="0" customHeight="1">
      <x:c r="A14" s="90"/>
      <x:c r="B14" s="90" t="str">
        <x:v>Litigation costs</x:v>
      </x:c>
      <x:c r="C14" s="157" t="n">
        <x:f>'Source Inputs'!C30</x:f>
        <x:v>6.9</x:v>
      </x:c>
      <x:c r="D14" s="90"/>
      <x:c r="E14" s="90"/>
      <x:c r="F14" s="90"/>
      <x:c r="G14" s="90"/>
      <x:c r="H14" s="90"/>
      <x:c r="I14" s="90"/>
      <x:c r="J14" s="90"/>
    </x:row>
    <x:row r="15" ht="20" hidden="0" customHeight="1">
      <x:c r="A15" s="88"/>
      <x:c r="B15" s="174" t="str">
        <x:v>Company Adjusted EBITDA</x:v>
      </x:c>
      <x:c r="C15" s="175" t="n">
        <x:f>SUM(C6:C14)</x:f>
        <x:v>227.49999999999997</x:v>
      </x:c>
      <x:c r="D15" s="174"/>
      <x:c r="E15" s="174"/>
      <x:c r="F15" s="174"/>
      <x:c r="G15" s="174"/>
      <x:c r="H15" s="90"/>
      <x:c r="I15" s="90"/>
      <x:c r="J15" s="90"/>
    </x:row>
    <x:row r="16" ht="20" hidden="0" customHeight="1">
      <x:c r="A16" s="90"/>
      <x:c r="B16" s="90"/>
      <x:c r="C16" s="90"/>
      <x:c r="D16" s="90"/>
      <x:c r="E16" s="90"/>
      <x:c r="F16" s="90"/>
      <x:c r="G16" s="90"/>
      <x:c r="H16" s="90"/>
      <x:c r="I16" s="90"/>
      <x:c r="J16" s="90"/>
    </x:row>
    <x:row r="17" ht="20" hidden="0" customHeight="1">
      <x:c r="A17" s="90"/>
      <x:c r="B17" s="90" t="str">
        <x:v>Reported company Adjusted EBITDA</x:v>
      </x:c>
      <x:c r="C17" s="157" t="n">
        <x:f>'Source Inputs'!C19</x:f>
        <x:v>227.5</x:v>
      </x:c>
      <x:c r="D17" s="90"/>
      <x:c r="E17" s="90"/>
      <x:c r="F17" s="90"/>
      <x:c r="G17" s="90"/>
      <x:c r="H17" s="90"/>
      <x:c r="I17" s="90"/>
      <x:c r="J17" s="90"/>
    </x:row>
    <x:row r="18" ht="20" hidden="0" customHeight="1">
      <x:c r="A18" s="90"/>
      <x:c r="B18" s="90" t="str">
        <x:v>Reconciliation difference</x:v>
      </x:c>
      <x:c r="C18" s="138" t="n">
        <x:f>C15-C17</x:f>
        <x:v>-2.842170943040401e-14</x:v>
      </x:c>
      <x:c r="D18" s="90"/>
      <x:c r="E18" s="90"/>
      <x:c r="F18" s="90"/>
      <x:c r="G18" s="90"/>
      <x:c r="H18" s="90"/>
      <x:c r="I18" s="90"/>
      <x:c r="J18" s="90"/>
    </x:row>
    <x:row r="19" ht="20" hidden="0" customHeight="1">
      <x:c r="A19" s="90"/>
      <x:c r="B19" s="90"/>
      <x:c r="C19" s="90"/>
      <x:c r="D19" s="90"/>
      <x:c r="E19" s="90"/>
      <x:c r="F19" s="90"/>
      <x:c r="G19" s="90"/>
      <x:c r="H19" s="90"/>
      <x:c r="I19" s="90"/>
      <x:c r="J19" s="90"/>
    </x:row>
    <x:row r="20" ht="24" hidden="0" customHeight="1">
      <x:c r="A20" s="88"/>
      <x:c r="B20" s="121" t="str">
        <x:v>EARNINGS ARE NOT CASH DISTRIBUTIONS</x:v>
      </x:c>
      <x:c r="C20" s="121"/>
      <x:c r="D20" s="121"/>
      <x:c r="E20" s="121"/>
      <x:c r="F20" s="121"/>
      <x:c r="G20" s="121"/>
      <x:c r="H20" s="121"/>
      <x:c r="I20" s="121"/>
      <x:c r="J20" s="121"/>
    </x:row>
    <x:row r="21" ht="20" hidden="0" customHeight="1">
      <x:c r="A21" s="90"/>
      <x:c r="B21" s="90" t="str">
        <x:v>H1 consolidated cash from operations</x:v>
      </x:c>
      <x:c r="C21" s="177" t="n">
        <x:f>'Source Inputs'!C24</x:f>
        <x:v>71</x:v>
      </x:c>
      <x:c r="D21" s="90"/>
      <x:c r="E21" s="90"/>
      <x:c r="F21" s="90"/>
      <x:c r="G21" s="90"/>
      <x:c r="H21" s="90"/>
      <x:c r="I21" s="90"/>
      <x:c r="J21" s="90"/>
    </x:row>
    <x:row r="22" ht="20" hidden="0" customHeight="1">
      <x:c r="A22" s="90"/>
      <x:c r="B22" s="90" t="str">
        <x:v>Less: capex</x:v>
      </x:c>
      <x:c r="C22" s="177" t="n">
        <x:f>-'Source Inputs'!C25</x:f>
        <x:v>-37.8</x:v>
      </x:c>
      <x:c r="D22" s="90"/>
      <x:c r="E22" s="90"/>
      <x:c r="F22" s="90"/>
      <x:c r="G22" s="90"/>
      <x:c r="H22" s="90"/>
      <x:c r="I22" s="90"/>
      <x:c r="J22" s="90"/>
    </x:row>
    <x:row r="23" ht="20" hidden="0" customHeight="1">
      <x:c r="A23" s="90"/>
      <x:c r="B23" s="90" t="str">
        <x:v>Less: physician distributions</x:v>
      </x:c>
      <x:c r="C23" s="177" t="n">
        <x:f>-'Source Inputs'!C23</x:f>
        <x:v>-103.5</x:v>
      </x:c>
      <x:c r="D23" s="90"/>
      <x:c r="E23" s="90"/>
      <x:c r="F23" s="90"/>
      <x:c r="G23" s="90"/>
      <x:c r="H23" s="90"/>
      <x:c r="I23" s="90"/>
      <x:c r="J23" s="90"/>
    </x:row>
    <x:row r="24" ht="20" hidden="0" customHeight="1">
      <x:c r="A24" s="90"/>
      <x:c r="B24" s="174" t="str">
        <x:v>Cash after capex and physician distributions</x:v>
      </x:c>
      <x:c r="C24" s="178" t="n">
        <x:f>SUM(C21:C23)</x:f>
        <x:v>-70.3</x:v>
      </x:c>
      <x:c r="D24" s="174"/>
      <x:c r="E24" s="174"/>
      <x:c r="F24" s="174"/>
      <x:c r="G24" s="174"/>
      <x:c r="H24" s="90"/>
      <x:c r="I24" s="90"/>
      <x:c r="J24" s="90"/>
    </x:row>
    <x:row r="25" ht="20" hidden="0" customHeight="1">
      <x:c r="A25" s="90"/>
      <x:c r="B25" s="90"/>
      <x:c r="C25" s="106"/>
      <x:c r="D25" s="90"/>
      <x:c r="E25" s="90"/>
      <x:c r="F25" s="90"/>
      <x:c r="G25" s="90"/>
      <x:c r="H25" s="90"/>
      <x:c r="I25" s="90"/>
      <x:c r="J25" s="90"/>
    </x:row>
    <x:row r="26" ht="20" hidden="0" customHeight="1">
      <x:c r="A26" s="90"/>
      <x:c r="B26" s="90"/>
      <x:c r="C26" s="90"/>
      <x:c r="D26" s="90"/>
      <x:c r="E26" s="90"/>
      <x:c r="F26" s="90"/>
      <x:c r="G26" s="90"/>
      <x:c r="H26" s="90"/>
      <x:c r="I26" s="90"/>
      <x:c r="J26" s="90"/>
    </x:row>
    <x:row r="27" ht="20" hidden="0" customHeight="1">
      <x:c r="A27" s="90"/>
      <x:c r="B27" s="166" t="str">
        <x:v>The DCF starts with company Adjusted EBITDA, adds back the NCI earnings deduction, and then deducts actual physician cash distributions. It also deducts SBC, recurring excluded costs, cash taxes, capex and working-capital needs. The result belongs to parent equity and funded-debt providers; no NCI book-value deduction follows.</x:v>
      </x:c>
      <x:c r="C27" s="166"/>
      <x:c r="D27" s="166"/>
      <x:c r="E27" s="166"/>
      <x:c r="F27" s="166"/>
      <x:c r="G27" s="166"/>
      <x:c r="H27" s="166"/>
      <x:c r="I27" s="118"/>
      <x:c r="J27" s="118"/>
    </x:row>
    <x:row r="28" ht="20" hidden="0" customHeight="1">
      <x:c r="A28" s="90"/>
      <x:c r="B28" s="166"/>
      <x:c r="C28" s="166"/>
      <x:c r="D28" s="166"/>
      <x:c r="E28" s="166"/>
      <x:c r="F28" s="166"/>
      <x:c r="G28" s="166"/>
      <x:c r="H28" s="166"/>
      <x:c r="I28" s="118"/>
      <x:c r="J28" s="118"/>
    </x:row>
    <x:row r="29" ht="20" hidden="0" customHeight="1">
      <x:c r="A29" s="90"/>
      <x:c r="B29" s="166"/>
      <x:c r="C29" s="166"/>
      <x:c r="D29" s="166"/>
      <x:c r="E29" s="166"/>
      <x:c r="F29" s="166"/>
      <x:c r="G29" s="166"/>
      <x:c r="H29" s="166"/>
      <x:c r="I29" s="118"/>
      <x:c r="J29" s="118"/>
    </x:row>
    <x:row r="30" ht="20" hidden="0" customHeight="1">
      <x:c r="A30" s="90"/>
      <x:c r="B30" s="118"/>
      <x:c r="C30" s="118"/>
      <x:c r="D30" s="118"/>
      <x:c r="E30" s="118"/>
      <x:c r="F30" s="118"/>
      <x:c r="G30" s="118"/>
      <x:c r="H30" s="118"/>
      <x:c r="I30" s="118"/>
      <x:c r="J30" s="118"/>
    </x:row>
    <x:row r="31" ht="20" hidden="0" customHeight="1">
      <x:c r="A31" s="90"/>
      <x:c r="B31" s="90"/>
      <x:c r="C31" s="90"/>
      <x:c r="D31" s="90"/>
      <x:c r="E31" s="90"/>
      <x:c r="F31" s="90"/>
      <x:c r="G31" s="90"/>
      <x:c r="H31" s="90"/>
      <x:c r="I31" s="90"/>
      <x:c r="J31" s="90"/>
    </x:row>
    <x:row r="32" ht="20" hidden="0" customHeight="1">
      <x:c r="A32" s="90"/>
      <x:c r="B32" s="118" t="str">
        <x:v>The peer comparison uses consolidated GAAP EBITDA and a consolidated enterprise-value multiple. That method subtracts the separate NCI value assumption once. Never apply a consolidated multiple to the company-adjusted figure without reconciling the ownership basis.</x:v>
      </x:c>
      <x:c r="C32" s="118"/>
      <x:c r="D32" s="118"/>
      <x:c r="E32" s="118"/>
      <x:c r="F32" s="118"/>
      <x:c r="G32" s="118"/>
      <x:c r="H32" s="118"/>
      <x:c r="I32" s="118"/>
      <x:c r="J32" s="118"/>
    </x:row>
    <x:row r="33" ht="20" hidden="0" customHeight="1">
      <x:c r="A33" s="90"/>
      <x:c r="B33" s="118"/>
      <x:c r="C33" s="118"/>
      <x:c r="D33" s="118"/>
      <x:c r="E33" s="118"/>
      <x:c r="F33" s="118"/>
      <x:c r="G33" s="118"/>
      <x:c r="H33" s="118"/>
      <x:c r="I33" s="118"/>
      <x:c r="J33" s="118"/>
    </x:row>
    <x:row r="34" ht="20" hidden="0" customHeight="1">
      <x:c r="A34" s="90"/>
      <x:c r="B34" s="118"/>
      <x:c r="C34" s="118"/>
      <x:c r="D34" s="118"/>
      <x:c r="E34" s="118"/>
      <x:c r="F34" s="118"/>
      <x:c r="G34" s="118"/>
      <x:c r="H34" s="118"/>
      <x:c r="I34" s="118"/>
      <x:c r="J34" s="118"/>
    </x:row>
    <x:row r="35" ht="20" hidden="0" customHeight="1">
      <x:c r="A35" s="90"/>
      <x:c r="B35" s="118"/>
      <x:c r="C35" s="118"/>
      <x:c r="D35" s="118"/>
      <x:c r="E35" s="118"/>
      <x:c r="F35" s="118"/>
      <x:c r="G35" s="118"/>
      <x:c r="H35" s="118"/>
      <x:c r="I35" s="118"/>
      <x:c r="J35" s="118"/>
    </x:row>
    <x:row r="36" ht="20" hidden="0" customHeight="1">
      <x:c r="A36" s="90"/>
      <x:c r="B36" s="90"/>
      <x:c r="C36" s="90"/>
      <x:c r="D36" s="90"/>
      <x:c r="E36" s="90"/>
      <x:c r="F36" s="90"/>
      <x:c r="G36" s="90"/>
      <x:c r="H36" s="90"/>
      <x:c r="I36" s="90"/>
      <x:c r="J36" s="90"/>
    </x:row>
    <x:row r="37" ht="20" hidden="0" customHeight="1">
      <x:c r="A37" s="90"/>
      <x:c r="B37" s="118" t="str">
        <x:v>Protect physician retention and patient access first. Price increases or cost reductions that damage case flow can destroy more value than they save. Test volume loss and margin compression together before raising a buyer ceiling.</x:v>
      </x:c>
      <x:c r="C37" s="118"/>
      <x:c r="D37" s="118"/>
      <x:c r="E37" s="118"/>
      <x:c r="F37" s="118"/>
      <x:c r="G37" s="118"/>
      <x:c r="H37" s="118"/>
      <x:c r="I37" s="118"/>
      <x:c r="J37" s="118"/>
    </x:row>
    <x:row r="38" ht="20" hidden="0" customHeight="1">
      <x:c r="A38" s="90"/>
      <x:c r="B38" s="118"/>
      <x:c r="C38" s="118"/>
      <x:c r="D38" s="118"/>
      <x:c r="E38" s="118"/>
      <x:c r="F38" s="118"/>
      <x:c r="G38" s="118"/>
      <x:c r="H38" s="118"/>
      <x:c r="I38" s="118"/>
      <x:c r="J38" s="118"/>
    </x:row>
    <x:row r="39" ht="20" hidden="0" customHeight="1">
      <x:c r="A39" s="90"/>
      <x:c r="B39" s="118"/>
      <x:c r="C39" s="118"/>
      <x:c r="D39" s="118"/>
      <x:c r="E39" s="118"/>
      <x:c r="F39" s="118"/>
      <x:c r="G39" s="118"/>
      <x:c r="H39" s="118"/>
      <x:c r="I39" s="118"/>
      <x:c r="J39" s="118"/>
    </x:row>
    <x:row r="40" ht="20" hidden="0" customHeight="1">
      <x:c r="A40" s="90"/>
      <x:c r="B40" s="90"/>
      <x:c r="C40" s="90"/>
      <x:c r="D40" s="90"/>
      <x:c r="E40" s="90"/>
      <x:c r="F40" s="90"/>
      <x:c r="G40" s="90"/>
      <x:c r="H40" s="90"/>
      <x:c r="I40" s="90"/>
      <x:c r="J40" s="90"/>
    </x:row>
    <x:row r="41" ht="20" hidden="0" customHeight="1">
      <x:c r="A41" s="90"/>
      <x:c r="B41" s="90"/>
      <x:c r="C41" s="90"/>
      <x:c r="D41" s="90"/>
      <x:c r="E41" s="90"/>
      <x:c r="F41" s="90"/>
      <x:c r="G41" s="90"/>
      <x:c r="H41" s="90"/>
      <x:c r="I41" s="90"/>
      <x:c r="J41" s="90"/>
    </x:row>
    <x:row r="42" ht="20" hidden="0" customHeight="1">
      <x:c r="A42" s="90"/>
      <x:c r="B42" s="90"/>
      <x:c r="C42" s="90"/>
      <x:c r="D42" s="90"/>
      <x:c r="E42" s="90"/>
      <x:c r="F42" s="90"/>
      <x:c r="G42" s="90"/>
      <x:c r="H42" s="90"/>
      <x:c r="I42" s="90"/>
      <x:c r="J42" s="90"/>
    </x:row>
    <x:row r="43" ht="20" hidden="0" customHeight="1">
      <x:c r="A43" s="90"/>
      <x:c r="B43" s="90"/>
      <x:c r="C43" s="90"/>
      <x:c r="D43" s="90"/>
      <x:c r="E43" s="90"/>
      <x:c r="F43" s="90"/>
      <x:c r="G43" s="90"/>
      <x:c r="H43" s="90"/>
      <x:c r="I43" s="90"/>
      <x:c r="J43" s="90"/>
    </x:row>
    <x:row r="44" ht="20" hidden="0" customHeight="1">
      <x:c r="A44" s="90"/>
      <x:c r="B44" s="90"/>
      <x:c r="C44" s="90"/>
      <x:c r="D44" s="90"/>
      <x:c r="E44" s="90"/>
      <x:c r="F44" s="90"/>
      <x:c r="G44" s="90"/>
      <x:c r="H44" s="90"/>
      <x:c r="I44" s="90"/>
      <x:c r="J44" s="90"/>
    </x:row>
    <x:row r="45" ht="20" hidden="0" customHeight="1">
      <x:c r="A45" s="90"/>
      <x:c r="B45" s="90"/>
      <x:c r="C45" s="90"/>
      <x:c r="D45" s="90"/>
      <x:c r="E45" s="90"/>
      <x:c r="F45" s="90"/>
      <x:c r="G45" s="90"/>
      <x:c r="H45" s="90"/>
      <x:c r="I45" s="90"/>
      <x:c r="J45" s="90"/>
    </x:row>
    <x:row r="46" ht="20" hidden="0" customHeight="1">
      <x:c r="A46" s="90"/>
      <x:c r="B46" s="90"/>
      <x:c r="C46" s="90"/>
      <x:c r="D46" s="90"/>
      <x:c r="E46" s="90"/>
      <x:c r="F46" s="90"/>
      <x:c r="G46" s="90"/>
      <x:c r="H46" s="90"/>
      <x:c r="I46" s="90"/>
      <x:c r="J46" s="90"/>
    </x:row>
    <x:row r="47" ht="20" hidden="0" customHeight="1">
      <x:c r="A47" s="90"/>
      <x:c r="B47" s="90"/>
      <x:c r="C47" s="90"/>
      <x:c r="D47" s="90"/>
      <x:c r="E47" s="90"/>
      <x:c r="F47" s="90"/>
      <x:c r="G47" s="90"/>
      <x:c r="H47" s="90"/>
      <x:c r="I47" s="90"/>
      <x:c r="J47" s="90"/>
    </x:row>
    <x:row r="48" ht="20" hidden="0" customHeight="1">
      <x:c r="A48" s="90"/>
      <x:c r="B48" s="90"/>
      <x:c r="C48" s="90"/>
      <x:c r="D48" s="90"/>
      <x:c r="E48" s="90"/>
      <x:c r="F48" s="90"/>
      <x:c r="G48" s="90"/>
      <x:c r="H48" s="90"/>
      <x:c r="I48" s="90"/>
      <x:c r="J48" s="90"/>
    </x:row>
    <x:row r="49" ht="15" hidden="0">
      <x:c r="A49" s="2"/>
      <x:c r="B49" s="2"/>
      <x:c r="C49" s="2"/>
      <x:c r="D49" s="2"/>
      <x:c r="E49" s="2"/>
      <x:c r="F49" s="2"/>
      <x:c r="G49" s="2"/>
      <x:c r="H49" s="2"/>
      <x:c r="I49" s="2"/>
      <x:c r="J49" s="2"/>
    </x:row>
    <x:row r="50" ht="15" hidden="0">
      <x:c r="A50" s="2"/>
      <x:c r="B50" s="2"/>
      <x:c r="C50" s="2"/>
      <x:c r="D50" s="2"/>
      <x:c r="E50" s="2"/>
      <x:c r="F50" s="2"/>
      <x:c r="G50" s="2"/>
      <x:c r="H50" s="2"/>
      <x:c r="I50" s="2"/>
      <x:c r="J50" s="2"/>
    </x:row>
    <x:row r="51" ht="15" hidden="0">
      <x:c r="A51" s="2"/>
      <x:c r="B51" s="2"/>
      <x:c r="C51" s="2"/>
      <x:c r="D51" s="2"/>
      <x:c r="E51" s="2"/>
      <x:c r="F51" s="2"/>
      <x:c r="G51" s="2"/>
      <x:c r="H51" s="2"/>
      <x:c r="I51" s="2"/>
      <x:c r="J51" s="2"/>
    </x:row>
    <x:row r="52" ht="15" hidden="0">
      <x:c r="A52" s="2"/>
      <x:c r="B52" s="2"/>
      <x:c r="C52" s="2"/>
      <x:c r="D52" s="2"/>
      <x:c r="E52" s="2"/>
      <x:c r="F52" s="2"/>
      <x:c r="G52" s="2"/>
      <x:c r="H52" s="2"/>
      <x:c r="I52" s="2"/>
      <x:c r="J52" s="2"/>
    </x:row>
    <x:row r="53" ht="15" hidden="0">
      <x:c r="A53" s="2"/>
      <x:c r="B53" s="2"/>
      <x:c r="C53" s="2"/>
      <x:c r="D53" s="2"/>
      <x:c r="E53" s="2"/>
      <x:c r="F53" s="2"/>
      <x:c r="G53" s="2"/>
      <x:c r="H53" s="2"/>
      <x:c r="I53" s="2"/>
      <x:c r="J53" s="2"/>
    </x:row>
    <x:row r="54" ht="15" hidden="0">
      <x:c r="A54" s="2"/>
      <x:c r="B54" s="2"/>
      <x:c r="C54" s="2"/>
      <x:c r="D54" s="2"/>
      <x:c r="E54" s="2"/>
      <x:c r="F54" s="2"/>
      <x:c r="G54" s="2"/>
      <x:c r="H54" s="2"/>
      <x:c r="I54" s="2"/>
      <x:c r="J54" s="2"/>
    </x:row>
    <x:row r="55" ht="15" hidden="0">
      <x:c r="A55" s="2"/>
      <x:c r="B55" s="2"/>
      <x:c r="C55" s="2"/>
      <x:c r="D55" s="2"/>
      <x:c r="E55" s="2"/>
      <x:c r="F55" s="2"/>
      <x:c r="G55" s="2"/>
      <x:c r="H55" s="2"/>
      <x:c r="I55" s="2"/>
      <x:c r="J55" s="2"/>
    </x:row>
    <x:row r="56" ht="15" hidden="0">
      <x:c r="A56" s="2"/>
      <x:c r="B56" s="2"/>
      <x:c r="C56" s="2"/>
      <x:c r="D56" s="2"/>
      <x:c r="E56" s="2"/>
      <x:c r="F56" s="2"/>
      <x:c r="G56" s="2"/>
      <x:c r="H56" s="2"/>
      <x:c r="I56" s="2"/>
      <x:c r="J56" s="2"/>
    </x:row>
    <x:row r="57" ht="15" hidden="0">
      <x:c r="A57" s="2"/>
      <x:c r="B57" s="2"/>
      <x:c r="C57" s="2"/>
      <x:c r="D57" s="2"/>
      <x:c r="E57" s="2"/>
      <x:c r="F57" s="2"/>
      <x:c r="G57" s="2"/>
      <x:c r="H57" s="2"/>
      <x:c r="I57" s="2"/>
      <x:c r="J57" s="2"/>
    </x:row>
    <x:row r="58" ht="15" hidden="0">
      <x:c r="A58" s="2"/>
      <x:c r="B58" s="2"/>
      <x:c r="C58" s="2"/>
      <x:c r="D58" s="2"/>
      <x:c r="E58" s="2"/>
      <x:c r="F58" s="2"/>
      <x:c r="G58" s="2"/>
      <x:c r="H58" s="2"/>
      <x:c r="I58" s="2"/>
      <x:c r="J58" s="2"/>
    </x:row>
    <x:row r="59" ht="15" hidden="0">
      <x:c r="A59" s="2"/>
      <x:c r="B59" s="2"/>
      <x:c r="C59" s="2"/>
      <x:c r="D59" s="2"/>
      <x:c r="E59" s="2"/>
      <x:c r="F59" s="2"/>
      <x:c r="G59" s="2"/>
      <x:c r="H59" s="2"/>
      <x:c r="I59" s="2"/>
      <x:c r="J59" s="2"/>
    </x:row>
    <x:row r="60" ht="15" hidden="0">
      <x:c r="A60" s="2"/>
      <x:c r="B60" s="2"/>
      <x:c r="C60" s="2"/>
      <x:c r="D60" s="2"/>
      <x:c r="E60" s="2"/>
      <x:c r="F60" s="2"/>
      <x:c r="G60" s="2"/>
      <x:c r="H60" s="2"/>
      <x:c r="I60" s="2"/>
      <x:c r="J60" s="2"/>
    </x:row>
  </x:sheetData>
  <x:mergeCells>
    <x:mergeCell ref="A1:J1"/>
    <x:mergeCell ref="B2:J3"/>
    <x:mergeCell ref="B5:J5"/>
    <x:mergeCell ref="B20:J20"/>
    <x:mergeCell ref="B27:J30"/>
    <x:mergeCell ref="B32:J35"/>
    <x:mergeCell ref="B37:J39"/>
  </x:mergeCells>
  <x:pageMargins left="0.7" right="0.7" top="0.75" bottom="0.75" header="0.3" footer="0.3"/>
</x:worksheet>
</file>

<file path=xl/worksheets/sheet6.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7" width="13"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OPERATING FORECAST</x:v>
      </x:c>
      <x:c r="B1" s="113"/>
      <x:c r="C1" s="113"/>
      <x:c r="D1" s="113"/>
      <x:c r="E1" s="113"/>
      <x:c r="F1" s="113"/>
      <x:c r="G1" s="113"/>
      <x:c r="H1" s="113"/>
      <x:c r="I1" s="114"/>
      <x:c r="J1" s="114"/>
    </x:row>
    <x:row r="2" ht="20" hidden="0" customHeight="1">
      <x:c r="A2" s="103"/>
      <x:c r="B2" s="117" t="str">
        <x:v>First column is H2 2026; subsequent columns are full fiscal years. Normalized earnings and cash schedules; US$ millions.</x:v>
      </x:c>
      <x:c r="C2" s="117"/>
      <x:c r="D2" s="117"/>
      <x:c r="E2" s="117"/>
      <x:c r="F2" s="117"/>
      <x:c r="G2" s="117"/>
      <x:c r="H2" s="117"/>
      <x:c r="I2" s="118"/>
      <x:c r="J2" s="118"/>
    </x:row>
    <x:row r="3" ht="20" hidden="0" customHeight="1">
      <x:c r="A3" s="90"/>
      <x:c r="B3" s="118"/>
      <x:c r="C3" s="118"/>
      <x:c r="D3" s="118"/>
      <x:c r="E3" s="118"/>
      <x:c r="F3" s="118"/>
      <x:c r="G3" s="118"/>
      <x:c r="H3" s="118"/>
      <x:c r="I3" s="118"/>
      <x:c r="J3" s="118"/>
    </x:row>
    <x:row r="4" ht="20" hidden="0" customHeight="1">
      <x:c r="A4" s="88"/>
      <x:c r="B4" s="88"/>
      <x:c r="C4" s="88"/>
      <x:c r="D4" s="88"/>
      <x:c r="E4" s="88"/>
      <x:c r="F4" s="88"/>
      <x:c r="G4" s="88"/>
      <x:c r="H4" s="88"/>
      <x:c r="I4" s="90"/>
      <x:c r="J4" s="90"/>
    </x:row>
    <x:row r="5" ht="20" hidden="0" customHeight="1">
      <x:c r="A5" s="90"/>
      <x:c r="B5" s="90" t="str">
        <x:v>Fiscal period</x:v>
      </x:c>
      <x:c r="C5" s="106" t="str">
        <x:v>H2 2026E</x:v>
      </x:c>
      <x:c r="D5" s="90" t="str">
        <x:v>FY2027E</x:v>
      </x:c>
      <x:c r="E5" s="90" t="str">
        <x:v>FY2028E</x:v>
      </x:c>
      <x:c r="F5" s="90" t="str">
        <x:v>FY2029E</x:v>
      </x:c>
      <x:c r="G5" s="90" t="str">
        <x:v>FY2030E</x:v>
      </x:c>
      <x:c r="H5" s="90"/>
      <x:c r="I5" s="90"/>
      <x:c r="J5" s="90"/>
    </x:row>
    <x:row r="6" ht="20" hidden="0" customHeight="1">
      <x:c r="A6" s="90"/>
      <x:c r="B6" s="90" t="str">
        <x:v>Period year fraction</x:v>
      </x:c>
      <x:c r="C6" s="191" t="n">
        <x:v>0.5</x:v>
      </x:c>
      <x:c r="D6" s="191" t="n">
        <x:v>1</x:v>
      </x:c>
      <x:c r="E6" s="191" t="n">
        <x:v>1</x:v>
      </x:c>
      <x:c r="F6" s="191" t="n">
        <x:v>1</x:v>
      </x:c>
      <x:c r="G6" s="191" t="n">
        <x:v>1</x:v>
      </x:c>
      <x:c r="H6" s="90"/>
      <x:c r="I6" s="90"/>
      <x:c r="J6" s="90"/>
    </x:row>
    <x:row r="7" ht="20" hidden="0" customHeight="1">
      <x:c r="A7" s="88"/>
      <x:c r="B7" s="88" t="str">
        <x:v>Revenue: full-year planning anchor</x:v>
      </x:c>
      <x:c r="C7" s="172" t="n">
        <x:f>'Assumptions'!F21</x:f>
        <x:v>3400</x:v>
      </x:c>
      <x:c r="D7" s="173" t="n">
        <x:f>C7*(1+D8)</x:f>
        <x:v>3502.68</x:v>
      </x:c>
      <x:c r="E7" s="173" t="n">
        <x:f>D7*(1+E8)</x:f>
        <x:v>3608.460936</x:v>
      </x:c>
      <x:c r="F7" s="173" t="n">
        <x:f>E7*(1+F8)</x:f>
        <x:v>3717.4364562672</x:v>
      </x:c>
      <x:c r="G7" s="173" t="n">
        <x:f>F7*(1+G8)</x:f>
        <x:v>3829.703037246469</x:v>
      </x:c>
      <x:c r="H7" s="88"/>
      <x:c r="I7" s="90"/>
      <x:c r="J7" s="90"/>
    </x:row>
    <x:row r="8" ht="20" hidden="0" customHeight="1">
      <x:c r="A8" s="90"/>
      <x:c r="B8" s="88" t="str">
        <x:v>Revenue growth after FY2026</x:v>
      </x:c>
      <x:c r="C8" s="193" t="n">
        <x:f>(1+'Assumptions'!F10)*(1+'Assumptions'!F20)-1</x:f>
        <x:v>0.030200000000000005</x:v>
      </x:c>
      <x:c r="D8" s="193" t="n">
        <x:f>(1+'Assumptions'!F10)*(1+'Assumptions'!F20)-1</x:f>
        <x:v>0.030200000000000005</x:v>
      </x:c>
      <x:c r="E8" s="193" t="n">
        <x:f>(1+'Assumptions'!F10)*(1+'Assumptions'!F20)-1</x:f>
        <x:v>0.030200000000000005</x:v>
      </x:c>
      <x:c r="F8" s="193" t="n">
        <x:f>(1+'Assumptions'!F10)*(1+'Assumptions'!F20)-1</x:f>
        <x:v>0.030200000000000005</x:v>
      </x:c>
      <x:c r="G8" s="193" t="n">
        <x:f>(1+'Assumptions'!F10)*(1+'Assumptions'!F20)-1</x:f>
        <x:v>0.030200000000000005</x:v>
      </x:c>
      <x:c r="H8" s="90"/>
      <x:c r="I8" s="90"/>
      <x:c r="J8" s="90"/>
    </x:row>
    <x:row r="9" ht="20" hidden="0" customHeight="1">
      <x:c r="A9" s="90"/>
      <x:c r="B9" s="90"/>
      <x:c r="C9" s="188"/>
      <x:c r="D9" s="188"/>
      <x:c r="E9" s="188"/>
      <x:c r="F9" s="188"/>
      <x:c r="G9" s="188"/>
      <x:c r="H9" s="90"/>
      <x:c r="I9" s="90"/>
      <x:c r="J9" s="90"/>
    </x:row>
    <x:row r="10" ht="20" hidden="0" customHeight="1">
      <x:c r="A10" s="90"/>
      <x:c r="B10" s="88" t="str">
        <x:v>Revenue in forecast period</x:v>
      </x:c>
      <x:c r="C10" s="194" t="n">
        <x:f aca="0">C7-'Source Inputs'!C18</x:f>
        <x:v>1740.2</x:v>
      </x:c>
      <x:c r="D10" s="130" t="n">
        <x:f aca="0">D7</x:f>
        <x:v>3502.68</x:v>
      </x:c>
      <x:c r="E10" s="130" t="n">
        <x:f aca="0">E7</x:f>
        <x:v>3608.460936</x:v>
      </x:c>
      <x:c r="F10" s="130" t="n">
        <x:f aca="0">F7</x:f>
        <x:v>3717.4364562672</x:v>
      </x:c>
      <x:c r="G10" s="130" t="n">
        <x:f aca="0">G7</x:f>
        <x:v>3829.703037246469</x:v>
      </x:c>
      <x:c r="H10" s="90"/>
      <x:c r="I10" s="90"/>
      <x:c r="J10" s="90"/>
    </x:row>
    <x:row r="11" ht="20" hidden="0" customHeight="1">
      <x:c r="A11" s="90"/>
      <x:c r="B11" s="103"/>
      <x:c r="C11" s="189">
        <x:f aca="0"/>
      </x:c>
      <x:c r="D11" s="189">
        <x:f aca="0"/>
      </x:c>
      <x:c r="E11" s="189">
        <x:f aca="0"/>
      </x:c>
      <x:c r="F11" s="189">
        <x:f aca="0"/>
      </x:c>
      <x:c r="G11" s="189">
        <x:f aca="0"/>
      </x:c>
      <x:c r="H11" s="90"/>
      <x:c r="I11" s="90"/>
      <x:c r="J11" s="90"/>
    </x:row>
    <x:row r="12" ht="20" hidden="0" customHeight="1">
      <x:c r="A12" s="90"/>
      <x:c r="B12" s="174" t="str">
        <x:v>Company Adjusted EBITDA</x:v>
      </x:c>
      <x:c r="C12" s="197" t="n">
        <x:f aca="0">C43-'Source Inputs'!C19</x:f>
        <x:v>302.5</x:v>
      </x:c>
      <x:c r="D12" s="178" t="n">
        <x:f aca="0">D43</x:f>
        <x:v>546.006</x:v>
      </x:c>
      <x:c r="E12" s="178" t="n">
        <x:f aca="0">E43</x:f>
        <x:v>562.4953812</x:v>
      </x:c>
      <x:c r="F12" s="178" t="n">
        <x:f aca="0">F43</x:f>
        <x:v>579.48274171224</x:v>
      </x:c>
      <x:c r="G12" s="178" t="n">
        <x:f aca="0">G43</x:f>
        <x:v>596.9831205119497</x:v>
      </x:c>
      <x:c r="H12" s="90"/>
      <x:c r="I12" s="90"/>
      <x:c r="J12" s="90"/>
    </x:row>
    <x:row r="13" ht="20" hidden="0" customHeight="1">
      <x:c r="A13" s="90"/>
      <x:c r="B13" s="90" t="str">
        <x:v>SBC economic expense</x:v>
      </x:c>
      <x:c r="C13" s="177" t="n">
        <x:f aca="0">-C10*'Assumptions'!F16</x:f>
        <x:v>-10.09316</x:v>
      </x:c>
      <x:c r="D13" s="177" t="n">
        <x:f aca="0">-D10*'Assumptions'!F16</x:f>
        <x:v>-20.315544</x:v>
      </x:c>
      <x:c r="E13" s="177" t="n">
        <x:f aca="0">-E10*'Assumptions'!F16</x:f>
        <x:v>-20.9290734288</x:v>
      </x:c>
      <x:c r="F13" s="177" t="n">
        <x:f aca="0">-F10*'Assumptions'!F16</x:f>
        <x:v>-21.56113144634976</x:v>
      </x:c>
      <x:c r="G13" s="177" t="n">
        <x:f aca="0">-G10*'Assumptions'!F16</x:f>
        <x:v>-22.21227761602952</x:v>
      </x:c>
      <x:c r="H13" s="90"/>
      <x:c r="I13" s="90"/>
      <x:c r="J13" s="90"/>
    </x:row>
    <x:row r="14" ht="20" hidden="0" customHeight="1">
      <x:c r="A14" s="90"/>
      <x:c r="B14" s="88" t="str">
        <x:v>Recurring excluded costs</x:v>
      </x:c>
      <x:c r="C14" s="194" t="n">
        <x:f aca="0">-C10*'Assumptions'!F19</x:f>
        <x:v>-34.804</x:v>
      </x:c>
      <x:c r="D14" s="194" t="n">
        <x:f aca="0">-D10*'Assumptions'!F19</x:f>
        <x:v>-70.0536</x:v>
      </x:c>
      <x:c r="E14" s="194" t="n">
        <x:f aca="0">-E10*'Assumptions'!F19</x:f>
        <x:v>-72.16921872</x:v>
      </x:c>
      <x:c r="F14" s="194" t="n">
        <x:f aca="0">-F10*'Assumptions'!F19</x:f>
        <x:v>-74.348729125344</x:v>
      </x:c>
      <x:c r="G14" s="194" t="n">
        <x:f aca="0">-G10*'Assumptions'!F19</x:f>
        <x:v>-76.59406074492938</x:v>
      </x:c>
      <x:c r="H14" s="90"/>
      <x:c r="I14" s="90"/>
      <x:c r="J14" s="90"/>
    </x:row>
    <x:row r="15" ht="20" hidden="0" customHeight="1">
      <x:c r="A15" s="90"/>
      <x:c r="B15" s="90" t="str">
        <x:v>D&amp;A</x:v>
      </x:c>
      <x:c r="C15" s="177" t="n">
        <x:f aca="0">-C10*'Assumptions'!F12</x:f>
        <x:v>-81.7894</x:v>
      </x:c>
      <x:c r="D15" s="177" t="n">
        <x:f aca="0">-D10*'Assumptions'!F12</x:f>
        <x:v>-164.62596</x:v>
      </x:c>
      <x:c r="E15" s="177" t="n">
        <x:f aca="0">-E10*'Assumptions'!F12</x:f>
        <x:v>-169.597663992</x:v>
      </x:c>
      <x:c r="F15" s="177" t="n">
        <x:f aca="0">-F10*'Assumptions'!F12</x:f>
        <x:v>-174.7195134445584</x:v>
      </x:c>
      <x:c r="G15" s="177" t="n">
        <x:f aca="0">-G10*'Assumptions'!F12</x:f>
        <x:v>-179.99604275058405</x:v>
      </x:c>
      <x:c r="H15" s="90"/>
      <x:c r="I15" s="90"/>
      <x:c r="J15" s="90"/>
    </x:row>
    <x:row r="16" ht="20" hidden="0" customHeight="1">
      <x:c r="A16" s="90"/>
      <x:c r="B16" s="174" t="str">
        <x:v>Parent economic EBIT</x:v>
      </x:c>
      <x:c r="C16" s="178" t="n">
        <x:f aca="0">SUM(C12:C15)</x:f>
        <x:v>175.81344</x:v>
      </x:c>
      <x:c r="D16" s="178" t="n">
        <x:f aca="0">SUM(D12:D15)</x:f>
        <x:v>291.0108959999999</x:v>
      </x:c>
      <x:c r="E16" s="178" t="n">
        <x:f aca="0">SUM(E12:E15)</x:f>
        <x:v>299.79942505919996</x:v>
      </x:c>
      <x:c r="F16" s="178" t="n">
        <x:f aca="0">SUM(F12:F15)</x:f>
        <x:v>308.8533676959878</x:v>
      </x:c>
      <x:c r="G16" s="178" t="n">
        <x:f aca="0">SUM(G12:G15)</x:f>
        <x:v>318.18073940040676</x:v>
      </x:c>
      <x:c r="H16" s="90"/>
      <x:c r="I16" s="90"/>
      <x:c r="J16" s="90"/>
    </x:row>
    <x:row r="17" ht="20" hidden="0" customHeight="1">
      <x:c r="A17" s="90"/>
      <x:c r="B17" s="90" t="str">
        <x:v>Beginning funded debt</x:v>
      </x:c>
      <x:c r="C17" s="177" t="n">
        <x:f aca="0">'Source Inputs'!C49</x:f>
        <x:v>3782.2000000000003</x:v>
      </x:c>
      <x:c r="D17" s="127" t="n">
        <x:f aca="0">C37</x:f>
        <x:v>3782.2000000000003</x:v>
      </x:c>
      <x:c r="E17" s="127" t="n">
        <x:f aca="0">D37</x:f>
        <x:v>3782.2000000000003</x:v>
      </x:c>
      <x:c r="F17" s="127" t="n">
        <x:f aca="0">E37</x:f>
        <x:v>3782.2000000000003</x:v>
      </x:c>
      <x:c r="G17" s="127" t="n">
        <x:f aca="0">F37</x:f>
        <x:v>3782.2000000000003</x:v>
      </x:c>
      <x:c r="H17" s="90"/>
      <x:c r="I17" s="90"/>
      <x:c r="J17" s="90"/>
    </x:row>
    <x:row r="18" ht="20" hidden="0" customHeight="1">
      <x:c r="A18" s="90"/>
      <x:c r="B18" s="88" t="str">
        <x:v>Gross cash interest</x:v>
      </x:c>
      <x:c r="C18" s="194" t="n">
        <x:f aca="0">-C17*'Assumptions'!F13*C6</x:f>
        <x:v>-141.8325</x:v>
      </x:c>
      <x:c r="D18" s="194" t="n">
        <x:f aca="0">-D17*'Assumptions'!F13*D6</x:f>
        <x:v>-283.665</x:v>
      </x:c>
      <x:c r="E18" s="194" t="n">
        <x:f aca="0">-E17*'Assumptions'!F13*E6</x:f>
        <x:v>-283.665</x:v>
      </x:c>
      <x:c r="F18" s="194" t="n">
        <x:f aca="0">-F17*'Assumptions'!F13*F6</x:f>
        <x:v>-283.665</x:v>
      </x:c>
      <x:c r="G18" s="194" t="n">
        <x:f aca="0">-G17*'Assumptions'!F13*G6</x:f>
        <x:v>-283.665</x:v>
      </x:c>
      <x:c r="H18" s="90"/>
      <x:c r="I18" s="90"/>
      <x:c r="J18" s="90"/>
    </x:row>
    <x:row r="19" ht="20" hidden="0" customHeight="1">
      <x:c r="A19" s="90"/>
      <x:c r="B19" s="90" t="str">
        <x:v>Cash interest income</x:v>
      </x:c>
      <x:c r="C19" s="177" t="n">
        <x:f aca="0">C32*'Assumptions'!C33*C6</x:f>
        <x:v>3.2504999999999997</x:v>
      </x:c>
      <x:c r="D19" s="177" t="n">
        <x:f aca="0">D32*'Assumptions'!C33*D6</x:f>
        <x:v>7.570322114704143</x:v>
      </x:c>
      <x:c r="E19" s="177" t="n">
        <x:f aca="0">E32*'Assumptions'!C33*E6</x:f>
        <x:v>8.430313519585182</x:v>
      </x:c>
      <x:c r="F19" s="177" t="n">
        <x:f aca="0">F32*'Assumptions'!C33*F6</x:f>
        <x:v>9.520473389923406</x:v>
      </x:c>
      <x:c r="G19" s="177" t="n">
        <x:f aca="0">G32*'Assumptions'!C33*G6</x:f>
        <x:v>10.852285980671283</x:v>
      </x:c>
      <x:c r="H19" s="90"/>
      <x:c r="I19" s="90"/>
      <x:c r="J19" s="90"/>
    </x:row>
    <x:row r="20" ht="20" hidden="0" customHeight="1">
      <x:c r="A20" s="90"/>
      <x:c r="B20" s="88" t="str">
        <x:v>Parent pretax earnings</x:v>
      </x:c>
      <x:c r="C20" s="130" t="n">
        <x:f aca="0">C16+C18+C19</x:f>
        <x:v>37.231440000000006</x:v>
      </x:c>
      <x:c r="D20" s="130" t="n">
        <x:f aca="0">D16+D18+D19</x:f>
        <x:v>14.916218114704012</x:v>
      </x:c>
      <x:c r="E20" s="130" t="n">
        <x:f aca="0">E16+E18+E19</x:f>
        <x:v>24.564738578785125</x:v>
      </x:c>
      <x:c r="F20" s="130" t="n">
        <x:f aca="0">F16+F18+F19</x:f>
        <x:v>34.70884108591119</x:v>
      </x:c>
      <x:c r="G20" s="130" t="n">
        <x:f aca="0">G16+G18+G19</x:f>
        <x:v>45.36802538107803</x:v>
      </x:c>
      <x:c r="H20" s="90"/>
      <x:c r="I20" s="90"/>
      <x:c r="J20" s="90"/>
    </x:row>
    <x:row r="21" ht="20" hidden="0" customHeight="1">
      <x:c r="A21" s="90"/>
      <x:c r="B21" s="90" t="str">
        <x:v>Cash taxes</x:v>
      </x:c>
      <x:c r="C21" s="177" t="n">
        <x:f aca="0">-MAX(0,C20)*'Assumptions'!F14</x:f>
        <x:v>-9.680174400000002</x:v>
      </x:c>
      <x:c r="D21" s="177" t="n">
        <x:f aca="0">-MAX(0,D20)*'Assumptions'!F14</x:f>
        <x:v>-3.878216709823043</x:v>
      </x:c>
      <x:c r="E21" s="177" t="n">
        <x:f aca="0">-MAX(0,E20)*'Assumptions'!F14</x:f>
        <x:v>-6.386832030484133</x:v>
      </x:c>
      <x:c r="F21" s="177" t="n">
        <x:f aca="0">-MAX(0,F20)*'Assumptions'!F14</x:f>
        <x:v>-9.024298682336909</x:v>
      </x:c>
      <x:c r="G21" s="177" t="n">
        <x:f aca="0">-MAX(0,G20)*'Assumptions'!F14</x:f>
        <x:v>-11.795686599080287</x:v>
      </x:c>
      <x:c r="H21" s="90"/>
      <x:c r="I21" s="90"/>
      <x:c r="J21" s="90"/>
    </x:row>
    <x:row r="22" ht="20" hidden="0" customHeight="1">
      <x:c r="A22" s="90"/>
      <x:c r="B22" s="174" t="str">
        <x:v>Parent normalized earnings</x:v>
      </x:c>
      <x:c r="C22" s="178" t="n">
        <x:f aca="0">C20+C21</x:f>
        <x:v>27.551265600000004</x:v>
      </x:c>
      <x:c r="D22" s="178" t="n">
        <x:f aca="0">D20+D21</x:f>
        <x:v>11.03800140488097</x:v>
      </x:c>
      <x:c r="E22" s="178" t="n">
        <x:f aca="0">E20+E21</x:f>
        <x:v>18.177906548300992</x:v>
      </x:c>
      <x:c r="F22" s="178" t="n">
        <x:f aca="0">F20+F21</x:f>
        <x:v>25.68454240357428</x:v>
      </x:c>
      <x:c r="G22" s="178" t="n">
        <x:f aca="0">G20+G21</x:f>
        <x:v>33.57233878199774</x:v>
      </x:c>
      <x:c r="H22" s="90"/>
      <x:c r="I22" s="90"/>
      <x:c r="J22" s="90"/>
    </x:row>
    <x:row r="23" ht="20" hidden="0" customHeight="1">
      <x:c r="A23" s="90"/>
      <x:c r="B23" s="90" t="str">
        <x:v>EPS on current diluted denominator</x:v>
      </x:c>
      <x:c r="C23" s="196" t="n">
        <x:f aca="0">IF('Source Inputs'!C50&gt;0,C22/'Source Inputs'!C50,0)</x:f>
        <x:v>0.2132071349527561</x:v>
      </x:c>
      <x:c r="D23" s="196" t="n">
        <x:f aca="0">IF('Source Inputs'!C50&gt;0,D22/'Source Inputs'!C50,0)</x:f>
        <x:v>0.08541824137251858</x:v>
      </x:c>
      <x:c r="E23" s="196" t="n">
        <x:f aca="0">IF('Source Inputs'!C50&gt;0,E22/'Source Inputs'!C50,0)</x:f>
        <x:v>0.1406708290962212</x:v>
      </x:c>
      <x:c r="F23" s="196" t="n">
        <x:f aca="0">IF('Source Inputs'!C50&gt;0,F22/'Source Inputs'!C50,0)</x:f>
        <x:v>0.1987613846108996</x:v>
      </x:c>
      <x:c r="G23" s="196" t="n">
        <x:f aca="0">IF('Source Inputs'!C50&gt;0,G22/'Source Inputs'!C50,0)</x:f>
        <x:v>0.25980157388388864</x:v>
      </x:c>
      <x:c r="H23" s="90"/>
      <x:c r="I23" s="90"/>
      <x:c r="J23" s="90"/>
    </x:row>
    <x:row r="24" ht="20" hidden="0" customHeight="1">
      <x:c r="A24" s="90"/>
      <x:c r="B24" s="90"/>
      <x:c r="C24" s="90"/>
      <x:c r="D24" s="90"/>
      <x:c r="E24" s="90"/>
      <x:c r="F24" s="90"/>
      <x:c r="G24" s="90"/>
      <x:c r="H24" s="90"/>
      <x:c r="I24" s="90"/>
      <x:c r="J24" s="90"/>
    </x:row>
    <x:row r="25" ht="20" hidden="0" customHeight="1">
      <x:c r="A25" s="88"/>
      <x:c r="B25" s="88" t="str">
        <x:v>NCI earnings added back</x:v>
      </x:c>
      <x:c r="C25" s="172" t="n">
        <x:f>C44-'Source Inputs'!C22</x:f>
        <x:v>103.17860489013813</x:v>
      </x:c>
      <x:c r="D25" s="173" t="n">
        <x:f>D44</x:f>
        <x:v>187.1652987578203</x:v>
      </x:c>
      <x:c r="E25" s="173" t="n">
        <x:f>E44</x:f>
        <x:v>192.8176907803065</x:v>
      </x:c>
      <x:c r="F25" s="173" t="n">
        <x:f>F44</x:f>
        <x:v>198.64078504187174</x:v>
      </x:c>
      <x:c r="G25" s="173" t="n">
        <x:f>G44</x:f>
        <x:v>204.63973675013625</x:v>
      </x:c>
      <x:c r="H25" s="88"/>
      <x:c r="I25" s="90"/>
      <x:c r="J25" s="90"/>
    </x:row>
    <x:row r="26" ht="20" hidden="0" customHeight="1">
      <x:c r="A26" s="90"/>
      <x:c r="B26" s="90" t="str">
        <x:v>NCI cash distributions</x:v>
      </x:c>
      <x:c r="C26" s="177" t="n">
        <x:f aca="0">-(C45-'Source Inputs'!C23)</x:f>
        <x:v>-122.5</x:v>
      </x:c>
      <x:c r="D26" s="127" t="n">
        <x:f aca="0">-D45</x:f>
        <x:v>-232.8252</x:v>
      </x:c>
      <x:c r="E26" s="127" t="n">
        <x:f aca="0">-E45</x:f>
        <x:v>-239.85652104</x:v>
      </x:c>
      <x:c r="F26" s="127" t="n">
        <x:f aca="0">-F45</x:f>
        <x:v>-247.10018797540798</x:v>
      </x:c>
      <x:c r="G26" s="127" t="n">
        <x:f aca="0">-G45</x:f>
        <x:v>-254.5626136522653</x:v>
      </x:c>
      <x:c r="H26" s="90"/>
      <x:c r="I26" s="90"/>
      <x:c r="J26" s="90"/>
    </x:row>
    <x:row r="27" ht="20" hidden="0" customHeight="1">
      <x:c r="A27" s="90"/>
      <x:c r="B27" s="90" t="str">
        <x:v>Capital expenditures</x:v>
      </x:c>
      <x:c r="C27" s="177" t="n">
        <x:f aca="0">-C10*'Assumptions'!F15</x:f>
        <x:v>-45.2452</x:v>
      </x:c>
      <x:c r="D27" s="177" t="n">
        <x:f aca="0">-D10*'Assumptions'!F15</x:f>
        <x:v>-91.06967999999999</x:v>
      </x:c>
      <x:c r="E27" s="177" t="n">
        <x:f aca="0">-E10*'Assumptions'!F15</x:f>
        <x:v>-93.81998433599999</x:v>
      </x:c>
      <x:c r="F27" s="177" t="n">
        <x:f aca="0">-F10*'Assumptions'!F15</x:f>
        <x:v>-96.6533478629472</x:v>
      </x:c>
      <x:c r="G27" s="177" t="n">
        <x:f aca="0">-G10*'Assumptions'!F15</x:f>
        <x:v>-99.5722789684082</x:v>
      </x:c>
      <x:c r="H27" s="90"/>
      <x:c r="I27" s="90"/>
      <x:c r="J27" s="90"/>
    </x:row>
    <x:row r="28" ht="20" hidden="0" customHeight="1">
      <x:c r="A28" s="90"/>
      <x:c r="B28" s="90" t="str">
        <x:v>Working-capital investment</x:v>
      </x:c>
      <x:c r="C28" s="177" t="n">
        <x:f aca="0">-(C7-'Source Inputs'!C35)*'Assumptions'!C24</x:f>
        <x:v>-9.130000000000019</x:v>
      </x:c>
      <x:c r="D28" s="177" t="n">
        <x:f aca="0">-(D7-C7)*'Assumptions'!C24</x:f>
        <x:v>-10.267999999999985</x:v>
      </x:c>
      <x:c r="E28" s="177" t="n">
        <x:f aca="0">-(E7-D7)*'Assumptions'!C24</x:f>
        <x:v>-10.578093600000011</x:v>
      </x:c>
      <x:c r="F28" s="177" t="n">
        <x:f aca="0">-(F7-E7)*'Assumptions'!C24</x:f>
        <x:v>-10.897552026719996</x:v>
      </x:c>
      <x:c r="G28" s="177" t="n">
        <x:f aca="0">-(G7-F7)*'Assumptions'!C24</x:f>
        <x:v>-11.22665809792693</x:v>
      </x:c>
      <x:c r="H28" s="90"/>
      <x:c r="I28" s="90"/>
      <x:c r="J28" s="90"/>
    </x:row>
    <x:row r="29" ht="20" hidden="0" customHeight="1">
      <x:c r="A29" s="90"/>
      <x:c r="B29" s="174" t="str">
        <x:v>Cash before interest, after physician distributions</x:v>
      </x:c>
      <x:c r="C29" s="197" t="n">
        <x:f aca="0">C16-MAX(0,C16)*'Assumptions'!F14-C15+SUM(C25:C28)</x:f>
        <x:v>138.19475049013812</x:v>
      </x:c>
      <x:c r="D29" s="197" t="n">
        <x:f aca="0">D16-MAX(0,D16)*'Assumptions'!F14-D15+SUM(D25:D28)</x:f>
        <x:v>232.97644179782026</x:v>
      </x:c>
      <x:c r="E29" s="197" t="n">
        <x:f aca="0">E16-MAX(0,E16)*'Assumptions'!F14-E15+SUM(E25:E28)</x:f>
        <x:v>240.01233034011446</x:v>
      </x:c>
      <x:c r="F29" s="197" t="n">
        <x:f aca="0">F16-MAX(0,F16)*'Assumptions'!F14-F15+SUM(F25:F28)</x:f>
        <x:v>247.26070271638594</x:v>
      </x:c>
      <x:c r="G29" s="197" t="n">
        <x:f aca="0">G16-MAX(0,G16)*'Assumptions'!F14-G15+SUM(G25:G28)</x:f>
        <x:v>254.72797593842085</x:v>
      </x:c>
      <x:c r="H29" s="90"/>
      <x:c r="I29" s="90"/>
      <x:c r="J29" s="90"/>
    </x:row>
    <x:row r="30" ht="20" hidden="0" customHeight="1">
      <x:c r="A30" s="90"/>
      <x:c r="B30" s="174" t="str">
        <x:v>Cash available after financing cost</x:v>
      </x:c>
      <x:c r="C30" s="175" t="n">
        <x:f>C22-C15+SUM(C25:C28)</x:f>
        <x:v>35.64407049013812</x:v>
      </x:c>
      <x:c r="D30" s="175" t="n">
        <x:f>D22-D15+SUM(D25:D28)</x:f>
        <x:v>28.6663801627013</x:v>
      </x:c>
      <x:c r="E30" s="175" t="n">
        <x:f>E22-E15+SUM(E25:E28)</x:f>
        <x:v>36.338662344607485</x:v>
      </x:c>
      <x:c r="F30" s="175" t="n">
        <x:f>F22-F15+SUM(F25:F28)</x:f>
        <x:v>44.393753024929225</x:v>
      </x:c>
      <x:c r="G30" s="175" t="n">
        <x:f>G22-G15+SUM(G25:G28)</x:f>
        <x:v>52.846567564117606</x:v>
      </x:c>
      <x:c r="H30" s="90"/>
      <x:c r="I30" s="90"/>
      <x:c r="J30" s="90"/>
    </x:row>
    <x:row r="31" ht="20" hidden="0" customHeight="1">
      <x:c r="A31" s="88"/>
      <x:c r="B31" s="88"/>
      <x:c r="C31" s="88"/>
      <x:c r="D31" s="88"/>
      <x:c r="E31" s="88"/>
      <x:c r="F31" s="88"/>
      <x:c r="G31" s="88"/>
      <x:c r="H31" s="88"/>
      <x:c r="I31" s="90"/>
      <x:c r="J31" s="90"/>
    </x:row>
    <x:row r="32" ht="20" hidden="0" customHeight="1">
      <x:c r="A32" s="90"/>
      <x:c r="B32" s="90" t="str">
        <x:v>Beginning cash</x:v>
      </x:c>
      <x:c r="C32" s="177" t="n">
        <x:f aca="0">'Source Inputs'!C51</x:f>
        <x:v>216.7</x:v>
      </x:c>
      <x:c r="D32" s="127" t="n">
        <x:f aca="0">C36</x:f>
        <x:v>252.3440704901381</x:v>
      </x:c>
      <x:c r="E32" s="127" t="n">
        <x:f aca="0">D36</x:f>
        <x:v>281.0104506528394</x:v>
      </x:c>
      <x:c r="F32" s="127" t="n">
        <x:f aca="0">E36</x:f>
        <x:v>317.34911299744687</x:v>
      </x:c>
      <x:c r="G32" s="127" t="n">
        <x:f aca="0">F36</x:f>
        <x:v>361.7428660223761</x:v>
      </x:c>
      <x:c r="H32" s="90"/>
      <x:c r="I32" s="90"/>
      <x:c r="J32" s="90"/>
    </x:row>
    <x:row r="33" ht="20" hidden="0" customHeight="1">
      <x:c r="A33" s="90"/>
      <x:c r="B33" s="88" t="str">
        <x:v>Cash from period after financing</x:v>
      </x:c>
      <x:c r="C33" s="130" t="n">
        <x:f aca="0">C30</x:f>
        <x:v>35.64407049013812</x:v>
      </x:c>
      <x:c r="D33" s="130" t="n">
        <x:f aca="0">D30</x:f>
        <x:v>28.6663801627013</x:v>
      </x:c>
      <x:c r="E33" s="130" t="n">
        <x:f aca="0">E30</x:f>
        <x:v>36.338662344607485</x:v>
      </x:c>
      <x:c r="F33" s="130" t="n">
        <x:f aca="0">F30</x:f>
        <x:v>44.393753024929225</x:v>
      </x:c>
      <x:c r="G33" s="130" t="n">
        <x:f aca="0">G30</x:f>
        <x:v>52.846567564117606</x:v>
      </x:c>
      <x:c r="H33" s="90"/>
      <x:c r="I33" s="90"/>
      <x:c r="J33" s="90"/>
    </x:row>
    <x:row r="34" ht="20" hidden="0" customHeight="1">
      <x:c r="A34" s="90"/>
      <x:c r="B34" s="90" t="str">
        <x:v>Explicit new borrowing / (repayment)</x:v>
      </x:c>
      <x:c r="C34" s="129" t="n">
        <x:f aca="0"/>
        <x:v>0</x:v>
      </x:c>
      <x:c r="D34" s="129" t="n">
        <x:f aca="0"/>
        <x:v>0</x:v>
      </x:c>
      <x:c r="E34" s="129" t="n">
        <x:f aca="0"/>
        <x:v>0</x:v>
      </x:c>
      <x:c r="F34" s="129" t="n">
        <x:f aca="0"/>
        <x:v>0</x:v>
      </x:c>
      <x:c r="G34" s="129" t="n">
        <x:f aca="0"/>
        <x:v>0</x:v>
      </x:c>
      <x:c r="H34" s="90"/>
      <x:c r="I34" s="90"/>
      <x:c r="J34" s="90"/>
    </x:row>
    <x:row r="35" ht="20" hidden="0" customHeight="1">
      <x:c r="A35" s="90"/>
      <x:c r="B35" s="90" t="str">
        <x:v>Parent distributions</x:v>
      </x:c>
      <x:c r="C35" s="177" t="n">
        <x:f aca="0">-'Assumptions'!C32*C6</x:f>
        <x:v>0</x:v>
      </x:c>
      <x:c r="D35" s="177" t="n">
        <x:f aca="0">-'Assumptions'!C32*D6</x:f>
        <x:v>0</x:v>
      </x:c>
      <x:c r="E35" s="177" t="n">
        <x:f aca="0">-'Assumptions'!C32*E6</x:f>
        <x:v>0</x:v>
      </x:c>
      <x:c r="F35" s="177" t="n">
        <x:f aca="0">-'Assumptions'!C32*F6</x:f>
        <x:v>0</x:v>
      </x:c>
      <x:c r="G35" s="177" t="n">
        <x:f aca="0">-'Assumptions'!C32*G6</x:f>
        <x:v>0</x:v>
      </x:c>
      <x:c r="H35" s="90"/>
      <x:c r="I35" s="90"/>
      <x:c r="J35" s="90"/>
    </x:row>
    <x:row r="36" ht="20" hidden="0" customHeight="1">
      <x:c r="A36" s="90"/>
      <x:c r="B36" s="174" t="str">
        <x:v>Ending cash</x:v>
      </x:c>
      <x:c r="C36" s="178" t="n">
        <x:f aca="0">SUM(C32:C35)</x:f>
        <x:v>252.3440704901381</x:v>
      </x:c>
      <x:c r="D36" s="178" t="n">
        <x:f aca="0">SUM(D32:D35)</x:f>
        <x:v>281.0104506528394</x:v>
      </x:c>
      <x:c r="E36" s="178" t="n">
        <x:f aca="0">SUM(E32:E35)</x:f>
        <x:v>317.34911299744687</x:v>
      </x:c>
      <x:c r="F36" s="178" t="n">
        <x:f aca="0">SUM(F32:F35)</x:f>
        <x:v>361.7428660223761</x:v>
      </x:c>
      <x:c r="G36" s="178" t="n">
        <x:f aca="0">SUM(G32:G35)</x:f>
        <x:v>414.5894335864937</x:v>
      </x:c>
      <x:c r="H36" s="90"/>
      <x:c r="I36" s="90"/>
      <x:c r="J36" s="90"/>
    </x:row>
    <x:row r="37" ht="20" hidden="0" customHeight="1">
      <x:c r="A37" s="90"/>
      <x:c r="B37" s="174" t="str">
        <x:v>Ending funded debt</x:v>
      </x:c>
      <x:c r="C37" s="178" t="n">
        <x:f aca="0">C17+C34</x:f>
        <x:v>3782.2000000000003</x:v>
      </x:c>
      <x:c r="D37" s="178" t="n">
        <x:f aca="0">D17+D34</x:f>
        <x:v>3782.2000000000003</x:v>
      </x:c>
      <x:c r="E37" s="178" t="n">
        <x:f aca="0">E17+E34</x:f>
        <x:v>3782.2000000000003</x:v>
      </x:c>
      <x:c r="F37" s="178" t="n">
        <x:f aca="0">F17+F34</x:f>
        <x:v>3782.2000000000003</x:v>
      </x:c>
      <x:c r="G37" s="178" t="n">
        <x:f aca="0">G17+G34</x:f>
        <x:v>3782.2000000000003</x:v>
      </x:c>
      <x:c r="H37" s="90"/>
      <x:c r="I37" s="90"/>
      <x:c r="J37" s="90"/>
    </x:row>
    <x:row r="38" ht="20" hidden="0" customHeight="1">
      <x:c r="A38" s="90"/>
      <x:c r="B38" s="103" t="str">
        <x:v>Cash reserve headroom</x:v>
      </x:c>
      <x:c r="C38" s="157" t="n">
        <x:f>C36-'Assumptions'!C25</x:f>
        <x:v>152.3440704901381</x:v>
      </x:c>
      <x:c r="D38" s="157" t="n">
        <x:f>D36-'Assumptions'!C25</x:f>
        <x:v>181.01045065283938</x:v>
      </x:c>
      <x:c r="E38" s="157" t="n">
        <x:f>E36-'Assumptions'!C25</x:f>
        <x:v>217.34911299744687</x:v>
      </x:c>
      <x:c r="F38" s="157" t="n">
        <x:f>F36-'Assumptions'!C25</x:f>
        <x:v>261.7428660223761</x:v>
      </x:c>
      <x:c r="G38" s="157" t="n">
        <x:f>G36-'Assumptions'!C25</x:f>
        <x:v>314.5894335864937</x:v>
      </x:c>
      <x:c r="H38" s="90"/>
      <x:c r="I38" s="90"/>
      <x:c r="J38" s="90"/>
    </x:row>
    <x:row r="39" ht="20" hidden="0" customHeight="1">
      <x:c r="A39" s="90"/>
      <x:c r="B39" s="90"/>
      <x:c r="C39" s="90"/>
      <x:c r="D39" s="90"/>
      <x:c r="E39" s="90"/>
      <x:c r="F39" s="90"/>
      <x:c r="G39" s="90"/>
      <x:c r="H39" s="90"/>
      <x:c r="I39" s="90"/>
      <x:c r="J39" s="90"/>
    </x:row>
    <x:row r="40" ht="20" hidden="0" customHeight="1">
      <x:c r="A40" s="88"/>
      <x:c r="B40" s="88" t="str">
        <x:v>Cash schedule tie</x:v>
      </x:c>
      <x:c r="C40" s="173" t="n">
        <x:f>C36-SUM(C32:C35)</x:f>
        <x:v>0</x:v>
      </x:c>
      <x:c r="D40" s="173" t="n">
        <x:f>D36-SUM(D32:D35)</x:f>
        <x:v>0</x:v>
      </x:c>
      <x:c r="E40" s="173" t="n">
        <x:f>E36-SUM(E32:E35)</x:f>
        <x:v>0</x:v>
      </x:c>
      <x:c r="F40" s="173" t="n">
        <x:f>F36-SUM(F32:F35)</x:f>
        <x:v>0</x:v>
      </x:c>
      <x:c r="G40" s="173" t="n">
        <x:f>G36-SUM(G32:G35)</x:f>
        <x:v>0</x:v>
      </x:c>
      <x:c r="H40" s="88"/>
      <x:c r="I40" s="90"/>
      <x:c r="J40" s="90"/>
    </x:row>
    <x:row r="41" ht="20" hidden="0" customHeight="1">
      <x:c r="A41" s="90"/>
      <x:c r="B41" s="88" t="str">
        <x:v>Debt schedule tie</x:v>
      </x:c>
      <x:c r="C41" s="130" t="n">
        <x:f aca="0">C37-C17-C34</x:f>
        <x:v>0</x:v>
      </x:c>
      <x:c r="D41" s="130" t="n">
        <x:f aca="0">D37-D17-D34</x:f>
        <x:v>0</x:v>
      </x:c>
      <x:c r="E41" s="130" t="n">
        <x:f aca="0">E37-E17-E34</x:f>
        <x:v>0</x:v>
      </x:c>
      <x:c r="F41" s="130" t="n">
        <x:f aca="0">F37-F17-F34</x:f>
        <x:v>0</x:v>
      </x:c>
      <x:c r="G41" s="130" t="n">
        <x:f aca="0">G37-G17-G34</x:f>
        <x:v>0</x:v>
      </x:c>
      <x:c r="H41" s="90"/>
      <x:c r="I41" s="90"/>
      <x:c r="J41" s="90"/>
    </x:row>
    <x:row r="42" ht="20" hidden="0" customHeight="1">
      <x:c r="A42" s="90"/>
      <x:c r="B42" s="90"/>
      <x:c r="C42" s="106">
        <x:f aca="0"/>
      </x:c>
      <x:c r="D42" s="106">
        <x:f aca="0"/>
      </x:c>
      <x:c r="E42" s="106">
        <x:f aca="0"/>
      </x:c>
      <x:c r="F42" s="106">
        <x:f aca="0"/>
      </x:c>
      <x:c r="G42" s="106">
        <x:f aca="0"/>
      </x:c>
      <x:c r="H42" s="90"/>
      <x:c r="I42" s="90"/>
      <x:c r="J42" s="90"/>
    </x:row>
    <x:row r="43" ht="20" hidden="0" customHeight="1">
      <x:c r="A43" s="90"/>
      <x:c r="B43" s="88" t="str">
        <x:v>Annual company EBITDA planning anchor</x:v>
      </x:c>
      <x:c r="C43" s="194" t="n">
        <x:f aca="0">C7*'Assumptions'!F11</x:f>
        <x:v>530</x:v>
      </x:c>
      <x:c r="D43" s="194" t="n">
        <x:f aca="0">D7*'Assumptions'!F11</x:f>
        <x:v>546.006</x:v>
      </x:c>
      <x:c r="E43" s="194" t="n">
        <x:f aca="0">E7*'Assumptions'!F11</x:f>
        <x:v>562.4953812</x:v>
      </x:c>
      <x:c r="F43" s="194" t="n">
        <x:f aca="0">F7*'Assumptions'!F11</x:f>
        <x:v>579.48274171224</x:v>
      </x:c>
      <x:c r="G43" s="194" t="n">
        <x:f aca="0">G7*'Assumptions'!F11</x:f>
        <x:v>596.9831205119497</x:v>
      </x:c>
      <x:c r="H43" s="90"/>
      <x:c r="I43" s="90"/>
      <x:c r="J43" s="90"/>
    </x:row>
    <x:row r="44" ht="20" hidden="0" customHeight="1">
      <x:c r="A44" s="90"/>
      <x:c r="B44" s="90" t="str">
        <x:v>Annual NCI net income planning anchor</x:v>
      </x:c>
      <x:c r="C44" s="177" t="n">
        <x:f aca="0">C7*'Assumptions'!F17</x:f>
        <x:v>181.67860489013813</x:v>
      </x:c>
      <x:c r="D44" s="177" t="n">
        <x:f aca="0">D7*'Assumptions'!F17</x:f>
        <x:v>187.1652987578203</x:v>
      </x:c>
      <x:c r="E44" s="177" t="n">
        <x:f aca="0">E7*'Assumptions'!F17</x:f>
        <x:v>192.8176907803065</x:v>
      </x:c>
      <x:c r="F44" s="177" t="n">
        <x:f aca="0">F7*'Assumptions'!F17</x:f>
        <x:v>198.64078504187174</x:v>
      </x:c>
      <x:c r="G44" s="177" t="n">
        <x:f aca="0">G7*'Assumptions'!F17</x:f>
        <x:v>204.63973675013625</x:v>
      </x:c>
      <x:c r="H44" s="90"/>
      <x:c r="I44" s="90"/>
      <x:c r="J44" s="90"/>
    </x:row>
    <x:row r="45" ht="20" hidden="0" customHeight="1">
      <x:c r="A45" s="90"/>
      <x:c r="B45" s="88" t="str">
        <x:v>Annual NCI cash distribution anchor</x:v>
      </x:c>
      <x:c r="C45" s="194" t="n">
        <x:f aca="0">'Assumptions'!F18</x:f>
        <x:v>226</x:v>
      </x:c>
      <x:c r="D45" s="130" t="n">
        <x:f aca="0">C45*(1+D8)</x:f>
        <x:v>232.8252</x:v>
      </x:c>
      <x:c r="E45" s="130" t="n">
        <x:f aca="0">D45*(1+E8)</x:f>
        <x:v>239.85652104</x:v>
      </x:c>
      <x:c r="F45" s="130" t="n">
        <x:f aca="0">E45*(1+F8)</x:f>
        <x:v>247.10018797540798</x:v>
      </x:c>
      <x:c r="G45" s="130" t="n">
        <x:f aca="0">F45*(1+G8)</x:f>
        <x:v>254.5626136522653</x:v>
      </x:c>
      <x:c r="H45" s="90"/>
      <x:c r="I45" s="90"/>
      <x:c r="J45" s="90"/>
    </x:row>
    <x:row r="46" ht="20" hidden="0" customHeight="1">
      <x:c r="A46" s="90"/>
      <x:c r="B46" s="90"/>
      <x:c r="C46" s="106">
        <x:f aca="0"/>
      </x:c>
      <x:c r="D46" s="106">
        <x:f aca="0"/>
      </x:c>
      <x:c r="E46" s="106">
        <x:f aca="0"/>
      </x:c>
      <x:c r="F46" s="106">
        <x:f aca="0"/>
      </x:c>
      <x:c r="G46" s="106">
        <x:f aca="0"/>
      </x:c>
      <x:c r="H46" s="90"/>
      <x:c r="I46" s="90"/>
      <x:c r="J46" s="90"/>
    </x:row>
    <x:row r="47" ht="20" hidden="0" customHeight="1">
      <x:c r="A47" s="90"/>
      <x:c r="B47" s="90"/>
      <x:c r="C47" s="106">
        <x:f aca="0"/>
      </x:c>
      <x:c r="D47" s="106">
        <x:f aca="0"/>
      </x:c>
      <x:c r="E47" s="106">
        <x:f aca="0"/>
      </x:c>
      <x:c r="F47" s="106">
        <x:f aca="0"/>
      </x:c>
      <x:c r="G47" s="106">
        <x:f aca="0"/>
      </x:c>
      <x:c r="H47" s="90"/>
      <x:c r="I47" s="90"/>
      <x:c r="J47" s="90"/>
    </x:row>
    <x:row r="48" ht="20" hidden="0" customHeight="1">
      <x:c r="A48" s="90"/>
      <x:c r="B48" s="199" t="str">
        <x:v>Forecast growth is organic. Pending Idaho Falls proceeds, associated earnings removal, new acquisitions and buyer synergies are excluded. The H2 revenue and EBITDA forecasts subtract reported H1 results from the full-year planning anchors, preserving seasonality.</x:v>
      </x:c>
      <x:c r="C48" s="200">
        <x:f aca="0"/>
      </x:c>
      <x:c r="D48" s="200">
        <x:f aca="0"/>
      </x:c>
      <x:c r="E48" s="200">
        <x:f aca="0"/>
      </x:c>
      <x:c r="F48" s="200">
        <x:f aca="0"/>
      </x:c>
      <x:c r="G48" s="200">
        <x:f aca="0"/>
      </x:c>
      <x:c r="H48" s="118"/>
      <x:c r="I48" s="118"/>
      <x:c r="J48" s="118"/>
    </x:row>
    <x:row r="49" ht="20" hidden="0" customHeight="1">
      <x:c r="A49" s="90"/>
      <x:c r="B49" s="199"/>
      <x:c r="C49" s="200">
        <x:f aca="0"/>
      </x:c>
      <x:c r="D49" s="200">
        <x:f aca="0"/>
      </x:c>
      <x:c r="E49" s="200">
        <x:f aca="0"/>
      </x:c>
      <x:c r="F49" s="200">
        <x:f aca="0"/>
      </x:c>
      <x:c r="G49" s="200">
        <x:f aca="0"/>
      </x:c>
      <x:c r="H49" s="118"/>
      <x:c r="I49" s="118"/>
      <x:c r="J49" s="118"/>
    </x:row>
    <x:row r="50" ht="20" hidden="0" customHeight="1">
      <x:c r="A50" s="90"/>
      <x:c r="B50" s="199"/>
      <x:c r="C50" s="200">
        <x:f aca="0"/>
      </x:c>
      <x:c r="D50" s="200">
        <x:f aca="0"/>
      </x:c>
      <x:c r="E50" s="200">
        <x:f aca="0"/>
      </x:c>
      <x:c r="F50" s="200">
        <x:f aca="0"/>
      </x:c>
      <x:c r="G50" s="200">
        <x:f aca="0"/>
      </x:c>
      <x:c r="H50" s="118"/>
      <x:c r="I50" s="118"/>
      <x:c r="J50" s="118"/>
    </x:row>
    <x:row r="51" ht="20" hidden="0" customHeight="1">
      <x:c r="A51" s="90"/>
      <x:c r="B51" s="88"/>
      <x:c r="C51" s="97">
        <x:f aca="0"/>
      </x:c>
      <x:c r="D51" s="97">
        <x:f aca="0"/>
      </x:c>
      <x:c r="E51" s="97">
        <x:f aca="0"/>
      </x:c>
      <x:c r="F51" s="97">
        <x:f aca="0"/>
      </x:c>
      <x:c r="G51" s="97">
        <x:f aca="0"/>
      </x:c>
      <x:c r="H51" s="90"/>
      <x:c r="I51" s="90"/>
      <x:c r="J51" s="90"/>
    </x:row>
    <x:row r="52" ht="20" hidden="0" customHeight="1">
      <x:c r="A52" s="90"/>
      <x:c r="B52" s="90"/>
      <x:c r="C52" s="90"/>
      <x:c r="D52" s="90"/>
      <x:c r="E52" s="90"/>
      <x:c r="F52" s="90"/>
      <x:c r="G52" s="90"/>
      <x:c r="H52" s="90"/>
      <x:c r="I52" s="90"/>
      <x:c r="J52" s="90"/>
    </x:row>
    <x:row r="53" ht="20" hidden="0" customHeight="1">
      <x:c r="A53" s="90"/>
      <x:c r="B53" s="118" t="str">
        <x:v>Physician distributions reduce cash even when they exceed NCI earnings. DCF excludes interest and uses a parent cash-tax assumption. The liquidity schedule uses actual gross interest and assumes no immediate tax refund on losses. SBC stays expensed; no additional share dilution is imposed for the same future expense.</x:v>
      </x:c>
      <x:c r="C53" s="118"/>
      <x:c r="D53" s="118"/>
      <x:c r="E53" s="118"/>
      <x:c r="F53" s="118"/>
      <x:c r="G53" s="118"/>
      <x:c r="H53" s="118"/>
      <x:c r="I53" s="118"/>
      <x:c r="J53" s="118"/>
    </x:row>
    <x:row r="54" ht="20" hidden="0" customHeight="1">
      <x:c r="A54" s="90"/>
      <x:c r="B54" s="118"/>
      <x:c r="C54" s="118"/>
      <x:c r="D54" s="118"/>
      <x:c r="E54" s="118"/>
      <x:c r="F54" s="118"/>
      <x:c r="G54" s="118"/>
      <x:c r="H54" s="118"/>
      <x:c r="I54" s="118"/>
      <x:c r="J54" s="118"/>
    </x:row>
    <x:row r="55" ht="20" hidden="0" customHeight="1">
      <x:c r="A55" s="90"/>
      <x:c r="B55" s="118"/>
      <x:c r="C55" s="118"/>
      <x:c r="D55" s="118"/>
      <x:c r="E55" s="118"/>
      <x:c r="F55" s="118"/>
      <x:c r="G55" s="118"/>
      <x:c r="H55" s="118"/>
      <x:c r="I55" s="118"/>
      <x:c r="J55" s="118"/>
    </x:row>
    <x:row r="56" ht="20" hidden="0" customHeight="1">
      <x:c r="A56" s="90"/>
      <x:c r="B56" s="118"/>
      <x:c r="C56" s="118"/>
      <x:c r="D56" s="118"/>
      <x:c r="E56" s="118"/>
      <x:c r="F56" s="118"/>
      <x:c r="G56" s="118"/>
      <x:c r="H56" s="118"/>
      <x:c r="I56" s="118"/>
      <x:c r="J56" s="118"/>
    </x:row>
    <x:row r="57" ht="20" hidden="0" customHeight="1">
      <x:c r="A57" s="90"/>
      <x:c r="B57" s="90"/>
      <x:c r="C57" s="90"/>
      <x:c r="D57" s="90"/>
      <x:c r="E57" s="90"/>
      <x:c r="F57" s="90"/>
      <x:c r="G57" s="90"/>
      <x:c r="H57" s="90"/>
      <x:c r="I57" s="90"/>
      <x:c r="J57" s="90"/>
    </x:row>
    <x:row r="58" ht="20" hidden="0" customHeight="1">
      <x:c r="A58" s="90"/>
      <x:c r="B58" s="90"/>
      <x:c r="C58" s="90"/>
      <x:c r="D58" s="90"/>
      <x:c r="E58" s="90"/>
      <x:c r="F58" s="90"/>
      <x:c r="G58" s="90"/>
      <x:c r="H58" s="90"/>
      <x:c r="I58" s="90"/>
      <x:c r="J58" s="90"/>
    </x:row>
    <x:row r="59" ht="20" hidden="0" customHeight="1">
      <x:c r="A59" s="90"/>
      <x:c r="B59" s="118" t="str">
        <x:v>The forecast contains operating, cash and debt schedules rather than a projected GAAP balance sheet. Cash shortfalls stay visible; financing is added only in the explicit borrowing row. Debt issuance is assumed at period end, so interest uses beginning balances.</x:v>
      </x:c>
      <x:c r="C59" s="118"/>
      <x:c r="D59" s="118"/>
      <x:c r="E59" s="118"/>
      <x:c r="F59" s="118"/>
      <x:c r="G59" s="118"/>
      <x:c r="H59" s="118"/>
      <x:c r="I59" s="118"/>
      <x:c r="J59" s="118"/>
    </x:row>
    <x:row r="60" ht="20" hidden="0" customHeight="1">
      <x:c r="A60" s="90"/>
      <x:c r="B60" s="118"/>
      <x:c r="C60" s="118"/>
      <x:c r="D60" s="118"/>
      <x:c r="E60" s="118"/>
      <x:c r="F60" s="118"/>
      <x:c r="G60" s="118"/>
      <x:c r="H60" s="118"/>
      <x:c r="I60" s="118"/>
      <x:c r="J60" s="118"/>
    </x:row>
    <x:row r="61" ht="20" hidden="0" customHeight="1">
      <x:c r="A61" s="90"/>
      <x:c r="B61" s="118"/>
      <x:c r="C61" s="118"/>
      <x:c r="D61" s="118"/>
      <x:c r="E61" s="118"/>
      <x:c r="F61" s="118"/>
      <x:c r="G61" s="118"/>
      <x:c r="H61" s="118"/>
      <x:c r="I61" s="118"/>
      <x:c r="J61" s="118"/>
    </x:row>
    <x:row r="62" ht="20" hidden="0" customHeight="1">
      <x:c r="A62" s="90"/>
      <x:c r="B62" s="90"/>
      <x:c r="C62" s="90"/>
      <x:c r="D62" s="90"/>
      <x:c r="E62" s="90"/>
      <x:c r="F62" s="90"/>
      <x:c r="G62" s="90"/>
      <x:c r="H62" s="90"/>
      <x:c r="I62" s="90"/>
      <x:c r="J62" s="90"/>
    </x:row>
    <x:row r="63" ht="20" hidden="0" customHeight="1">
      <x:c r="A63" s="90"/>
      <x:c r="B63" s="90"/>
      <x:c r="C63" s="90"/>
      <x:c r="D63" s="90"/>
      <x:c r="E63" s="90"/>
      <x:c r="F63" s="90"/>
      <x:c r="G63" s="90"/>
      <x:c r="H63" s="90"/>
      <x:c r="I63" s="90"/>
      <x:c r="J63" s="90"/>
    </x:row>
    <x:row r="64" ht="20" hidden="0" customHeight="1">
      <x:c r="A64" s="90"/>
      <x:c r="B64" s="90"/>
      <x:c r="C64" s="90"/>
      <x:c r="D64" s="90"/>
      <x:c r="E64" s="90"/>
      <x:c r="F64" s="90"/>
      <x:c r="G64" s="90"/>
      <x:c r="H64" s="90"/>
      <x:c r="I64" s="90"/>
      <x:c r="J64" s="90"/>
    </x:row>
    <x:row r="65" ht="20" hidden="0" customHeight="1">
      <x:c r="A65" s="90"/>
      <x:c r="B65" s="90"/>
      <x:c r="C65" s="90"/>
      <x:c r="D65" s="90"/>
      <x:c r="E65" s="90"/>
      <x:c r="F65" s="90"/>
      <x:c r="G65" s="90"/>
      <x:c r="H65" s="90"/>
      <x:c r="I65" s="90"/>
      <x:c r="J65" s="90"/>
    </x:row>
    <x:row r="66" ht="20" hidden="0" customHeight="1">
      <x:c r="A66" s="90"/>
      <x:c r="B66" s="90"/>
      <x:c r="C66" s="90"/>
      <x:c r="D66" s="90"/>
      <x:c r="E66" s="90"/>
      <x:c r="F66" s="90"/>
      <x:c r="G66" s="90"/>
      <x:c r="H66" s="90"/>
      <x:c r="I66" s="90"/>
      <x:c r="J66" s="90"/>
    </x:row>
    <x:row r="67" ht="20" hidden="0" customHeight="1">
      <x:c r="A67" s="90"/>
      <x:c r="B67" s="90"/>
      <x:c r="C67" s="90"/>
      <x:c r="D67" s="90"/>
      <x:c r="E67" s="90"/>
      <x:c r="F67" s="90"/>
      <x:c r="G67" s="90"/>
      <x:c r="H67" s="90"/>
      <x:c r="I67" s="90"/>
      <x:c r="J67" s="90"/>
    </x:row>
    <x:row r="68" ht="20" hidden="0" customHeight="1">
      <x:c r="A68" s="90"/>
      <x:c r="B68" s="90"/>
      <x:c r="C68" s="90"/>
      <x:c r="D68" s="90"/>
      <x:c r="E68" s="90"/>
      <x:c r="F68" s="90"/>
      <x:c r="G68" s="90"/>
      <x:c r="H68" s="90"/>
      <x:c r="I68" s="90"/>
      <x:c r="J68" s="90"/>
    </x:row>
    <x:row r="69" ht="20" hidden="0" customHeight="1">
      <x:c r="A69" s="90"/>
      <x:c r="B69" s="90"/>
      <x:c r="C69" s="90"/>
      <x:c r="D69" s="90"/>
      <x:c r="E69" s="90"/>
      <x:c r="F69" s="90"/>
      <x:c r="G69" s="90"/>
      <x:c r="H69" s="90"/>
      <x:c r="I69" s="90"/>
      <x:c r="J69" s="90"/>
    </x:row>
    <x:row r="70" ht="20" hidden="0" customHeight="1">
      <x:c r="A70" s="90"/>
      <x:c r="B70" s="90"/>
      <x:c r="C70" s="90"/>
      <x:c r="D70" s="90"/>
      <x:c r="E70" s="90"/>
      <x:c r="F70" s="90"/>
      <x:c r="G70" s="90"/>
      <x:c r="H70" s="90"/>
      <x:c r="I70" s="90"/>
      <x:c r="J70" s="90"/>
    </x:row>
    <x:row r="71" ht="15" hidden="0">
      <x:c r="A71" s="2"/>
      <x:c r="B71" s="2"/>
      <x:c r="C71" s="2"/>
      <x:c r="D71" s="2"/>
      <x:c r="E71" s="2"/>
      <x:c r="F71" s="2"/>
      <x:c r="G71" s="2"/>
      <x:c r="H71" s="2"/>
      <x:c r="I71" s="2"/>
      <x:c r="J71" s="2"/>
    </x:row>
    <x:row r="72" ht="15" hidden="0">
      <x:c r="A72" s="2"/>
      <x:c r="B72" s="2"/>
      <x:c r="C72" s="2"/>
      <x:c r="D72" s="2"/>
      <x:c r="E72" s="2"/>
      <x:c r="F72" s="2"/>
      <x:c r="G72" s="2"/>
      <x:c r="H72" s="2"/>
      <x:c r="I72" s="2"/>
      <x:c r="J72" s="2"/>
    </x:row>
    <x:row r="73" ht="15" hidden="0">
      <x:c r="A73" s="2"/>
      <x:c r="B73" s="2"/>
      <x:c r="C73" s="2"/>
      <x:c r="D73" s="2"/>
      <x:c r="E73" s="2"/>
      <x:c r="F73" s="2"/>
      <x:c r="G73" s="2"/>
      <x:c r="H73" s="2"/>
      <x:c r="I73" s="2"/>
      <x:c r="J73" s="2"/>
    </x:row>
    <x:row r="74" ht="15" hidden="0">
      <x:c r="A74" s="2"/>
      <x:c r="B74" s="2"/>
      <x:c r="C74" s="2"/>
      <x:c r="D74" s="2"/>
      <x:c r="E74" s="2"/>
      <x:c r="F74" s="2"/>
      <x:c r="G74" s="2"/>
      <x:c r="H74" s="2"/>
      <x:c r="I74" s="2"/>
      <x:c r="J74" s="2"/>
    </x:row>
    <x:row r="75" ht="15" hidden="0">
      <x:c r="A75" s="2"/>
      <x:c r="B75" s="2"/>
      <x:c r="C75" s="2"/>
      <x:c r="D75" s="2"/>
      <x:c r="E75" s="2"/>
      <x:c r="F75" s="2"/>
      <x:c r="G75" s="2"/>
      <x:c r="H75" s="2"/>
      <x:c r="I75" s="2"/>
      <x:c r="J75" s="2"/>
    </x:row>
    <x:row r="76" ht="15" hidden="0">
      <x:c r="A76" s="2"/>
      <x:c r="B76" s="2"/>
      <x:c r="C76" s="2"/>
      <x:c r="D76" s="2"/>
      <x:c r="E76" s="2"/>
      <x:c r="F76" s="2"/>
      <x:c r="G76" s="2"/>
      <x:c r="H76" s="2"/>
      <x:c r="I76" s="2"/>
      <x:c r="J76" s="2"/>
    </x:row>
    <x:row r="77" ht="15" hidden="0">
      <x:c r="A77" s="2"/>
      <x:c r="B77" s="2"/>
      <x:c r="C77" s="2"/>
      <x:c r="D77" s="2"/>
      <x:c r="E77" s="2"/>
      <x:c r="F77" s="2"/>
      <x:c r="G77" s="2"/>
      <x:c r="H77" s="2"/>
      <x:c r="I77" s="2"/>
      <x:c r="J77" s="2"/>
    </x:row>
    <x:row r="78" ht="15" hidden="0">
      <x:c r="A78" s="2"/>
      <x:c r="B78" s="2"/>
      <x:c r="C78" s="2"/>
      <x:c r="D78" s="2"/>
      <x:c r="E78" s="2"/>
      <x:c r="F78" s="2"/>
      <x:c r="G78" s="2"/>
      <x:c r="H78" s="2"/>
      <x:c r="I78" s="2"/>
      <x:c r="J78" s="2"/>
    </x:row>
    <x:row r="79" ht="15" hidden="0">
      <x:c r="A79" s="2"/>
      <x:c r="B79" s="2"/>
      <x:c r="C79" s="2"/>
      <x:c r="D79" s="2"/>
      <x:c r="E79" s="2"/>
      <x:c r="F79" s="2"/>
      <x:c r="G79" s="2"/>
      <x:c r="H79" s="2"/>
      <x:c r="I79" s="2"/>
      <x:c r="J79" s="2"/>
    </x:row>
    <x:row r="80" ht="15" hidden="0">
      <x:c r="A80" s="2"/>
      <x:c r="B80" s="2"/>
      <x:c r="C80" s="2"/>
      <x:c r="D80" s="2"/>
      <x:c r="E80" s="2"/>
      <x:c r="F80" s="2"/>
      <x:c r="G80" s="2"/>
      <x:c r="H80" s="2"/>
      <x:c r="I80" s="2"/>
      <x:c r="J80" s="2"/>
    </x:row>
    <x:row r="81" ht="15" hidden="0">
      <x:c r="A81" s="2"/>
      <x:c r="B81" s="2"/>
      <x:c r="C81" s="2"/>
      <x:c r="D81" s="2"/>
      <x:c r="E81" s="2"/>
      <x:c r="F81" s="2"/>
      <x:c r="G81" s="2"/>
      <x:c r="H81" s="2"/>
      <x:c r="I81" s="2"/>
      <x:c r="J81" s="2"/>
    </x:row>
    <x:row r="82" ht="15" hidden="0">
      <x:c r="A82" s="2"/>
      <x:c r="B82" s="2"/>
      <x:c r="C82" s="2"/>
      <x:c r="D82" s="2"/>
      <x:c r="E82" s="2"/>
      <x:c r="F82" s="2"/>
      <x:c r="G82" s="2"/>
      <x:c r="H82" s="2"/>
      <x:c r="I82" s="2"/>
      <x:c r="J82" s="2"/>
    </x:row>
    <x:row r="83" ht="15" hidden="0">
      <x:c r="A83" s="2"/>
      <x:c r="B83" s="2"/>
      <x:c r="C83" s="2"/>
      <x:c r="D83" s="2"/>
      <x:c r="E83" s="2"/>
      <x:c r="F83" s="2"/>
      <x:c r="G83" s="2"/>
      <x:c r="H83" s="2"/>
      <x:c r="I83" s="2"/>
      <x:c r="J83" s="2"/>
    </x:row>
    <x:row r="84" ht="15" hidden="0">
      <x:c r="A84" s="2"/>
      <x:c r="B84" s="2"/>
      <x:c r="C84" s="2"/>
      <x:c r="D84" s="2"/>
      <x:c r="E84" s="2"/>
      <x:c r="F84" s="2"/>
      <x:c r="G84" s="2"/>
      <x:c r="H84" s="2"/>
      <x:c r="I84" s="2"/>
      <x:c r="J84" s="2"/>
    </x:row>
    <x:row r="85" ht="15" hidden="0">
      <x:c r="A85" s="2"/>
      <x:c r="B85" s="2"/>
      <x:c r="C85" s="2"/>
      <x:c r="D85" s="2"/>
      <x:c r="E85" s="2"/>
      <x:c r="F85" s="2"/>
      <x:c r="G85" s="2"/>
      <x:c r="H85" s="2"/>
      <x:c r="I85" s="2"/>
      <x:c r="J85" s="2"/>
    </x:row>
    <x:row r="86" ht="15" hidden="0">
      <x:c r="A86" s="2"/>
      <x:c r="B86" s="2"/>
      <x:c r="C86" s="2"/>
      <x:c r="D86" s="2"/>
      <x:c r="E86" s="2"/>
      <x:c r="F86" s="2"/>
      <x:c r="G86" s="2"/>
      <x:c r="H86" s="2"/>
      <x:c r="I86" s="2"/>
      <x:c r="J86" s="2"/>
    </x:row>
    <x:row r="87" ht="15" hidden="0">
      <x:c r="A87" s="2"/>
      <x:c r="B87" s="2"/>
      <x:c r="C87" s="2"/>
      <x:c r="D87" s="2"/>
      <x:c r="E87" s="2"/>
      <x:c r="F87" s="2"/>
      <x:c r="G87" s="2"/>
      <x:c r="H87" s="2"/>
      <x:c r="I87" s="2"/>
      <x:c r="J87" s="2"/>
    </x:row>
    <x:row r="88" ht="15" hidden="0">
      <x:c r="A88" s="2"/>
      <x:c r="B88" s="2"/>
      <x:c r="C88" s="2"/>
      <x:c r="D88" s="2"/>
      <x:c r="E88" s="2"/>
      <x:c r="F88" s="2"/>
      <x:c r="G88" s="2"/>
      <x:c r="H88" s="2"/>
      <x:c r="I88" s="2"/>
      <x:c r="J88" s="2"/>
    </x:row>
    <x:row r="89" ht="15" hidden="0">
      <x:c r="A89" s="2"/>
      <x:c r="B89" s="2"/>
      <x:c r="C89" s="2"/>
      <x:c r="D89" s="2"/>
      <x:c r="E89" s="2"/>
      <x:c r="F89" s="2"/>
      <x:c r="G89" s="2"/>
      <x:c r="H89" s="2"/>
      <x:c r="I89" s="2"/>
      <x:c r="J89" s="2"/>
    </x:row>
    <x:row r="90" ht="15" hidden="0">
      <x:c r="A90" s="2"/>
      <x:c r="B90" s="2"/>
      <x:c r="C90" s="2"/>
      <x:c r="D90" s="2"/>
      <x:c r="E90" s="2"/>
      <x:c r="F90" s="2"/>
      <x:c r="G90" s="2"/>
      <x:c r="H90" s="2"/>
      <x:c r="I90" s="2"/>
      <x:c r="J90" s="2"/>
    </x:row>
    <x:row r="91" ht="15" hidden="0">
      <x:c r="A91" s="2"/>
      <x:c r="B91" s="2"/>
      <x:c r="C91" s="2"/>
      <x:c r="D91" s="2"/>
      <x:c r="E91" s="2"/>
      <x:c r="F91" s="2"/>
      <x:c r="G91" s="2"/>
      <x:c r="H91" s="2"/>
      <x:c r="I91" s="2"/>
      <x:c r="J91" s="2"/>
    </x:row>
    <x:row r="92" ht="15" hidden="0">
      <x:c r="A92" s="2"/>
      <x:c r="B92" s="2"/>
      <x:c r="C92" s="2"/>
      <x:c r="D92" s="2"/>
      <x:c r="E92" s="2"/>
      <x:c r="F92" s="2"/>
      <x:c r="G92" s="2"/>
      <x:c r="H92" s="2"/>
      <x:c r="I92" s="2"/>
      <x:c r="J92" s="2"/>
    </x:row>
    <x:row r="93" ht="15" hidden="0">
      <x:c r="A93" s="2"/>
      <x:c r="B93" s="2"/>
      <x:c r="C93" s="2"/>
      <x:c r="D93" s="2"/>
      <x:c r="E93" s="2"/>
      <x:c r="F93" s="2"/>
      <x:c r="G93" s="2"/>
      <x:c r="H93" s="2"/>
      <x:c r="I93" s="2"/>
      <x:c r="J93" s="2"/>
    </x:row>
    <x:row r="94" ht="15" hidden="0">
      <x:c r="A94" s="2"/>
      <x:c r="B94" s="2"/>
      <x:c r="C94" s="2"/>
      <x:c r="D94" s="2"/>
      <x:c r="E94" s="2"/>
      <x:c r="F94" s="2"/>
      <x:c r="G94" s="2"/>
      <x:c r="H94" s="2"/>
      <x:c r="I94" s="2"/>
      <x:c r="J94" s="2"/>
    </x:row>
    <x:row r="95" ht="15" hidden="0">
      <x:c r="A95" s="2"/>
      <x:c r="B95" s="2"/>
      <x:c r="C95" s="2"/>
      <x:c r="D95" s="2"/>
      <x:c r="E95" s="2"/>
      <x:c r="F95" s="2"/>
      <x:c r="G95" s="2"/>
      <x:c r="H95" s="2"/>
      <x:c r="I95" s="2"/>
      <x:c r="J95" s="2"/>
    </x:row>
    <x:row r="96" ht="15" hidden="0">
      <x:c r="A96" s="2"/>
      <x:c r="B96" s="2"/>
      <x:c r="C96" s="2"/>
      <x:c r="D96" s="2"/>
      <x:c r="E96" s="2"/>
      <x:c r="F96" s="2"/>
      <x:c r="G96" s="2"/>
      <x:c r="H96" s="2"/>
      <x:c r="I96" s="2"/>
      <x:c r="J96" s="2"/>
    </x:row>
    <x:row r="97" ht="15" hidden="0">
      <x:c r="A97" s="2"/>
      <x:c r="B97" s="2"/>
      <x:c r="C97" s="2"/>
      <x:c r="D97" s="2"/>
      <x:c r="E97" s="2"/>
      <x:c r="F97" s="2"/>
      <x:c r="G97" s="2"/>
      <x:c r="H97" s="2"/>
      <x:c r="I97" s="2"/>
      <x:c r="J97" s="2"/>
    </x:row>
    <x:row r="98" ht="15" hidden="0">
      <x:c r="A98" s="2"/>
      <x:c r="B98" s="2"/>
      <x:c r="C98" s="2"/>
      <x:c r="D98" s="2"/>
      <x:c r="E98" s="2"/>
      <x:c r="F98" s="2"/>
      <x:c r="G98" s="2"/>
      <x:c r="H98" s="2"/>
      <x:c r="I98" s="2"/>
      <x:c r="J98" s="2"/>
    </x:row>
    <x:row r="99" ht="15" hidden="0">
      <x:c r="A99" s="2"/>
      <x:c r="B99" s="2"/>
      <x:c r="C99" s="2"/>
      <x:c r="D99" s="2"/>
      <x:c r="E99" s="2"/>
      <x:c r="F99" s="2"/>
      <x:c r="G99" s="2"/>
      <x:c r="H99" s="2"/>
      <x:c r="I99" s="2"/>
      <x:c r="J99" s="2"/>
    </x:row>
    <x:row r="100" ht="15" hidden="0">
      <x:c r="A100" s="2"/>
      <x:c r="B100" s="2"/>
      <x:c r="C100" s="2"/>
      <x:c r="D100" s="2"/>
      <x:c r="E100" s="2"/>
      <x:c r="F100" s="2"/>
      <x:c r="G100" s="2"/>
      <x:c r="H100" s="2"/>
      <x:c r="I100" s="2"/>
      <x:c r="J100" s="2"/>
    </x:row>
    <x:row r="101" ht="15" hidden="0">
      <x:c r="A101" s="2"/>
      <x:c r="B101" s="2"/>
      <x:c r="C101" s="2"/>
      <x:c r="D101" s="2"/>
      <x:c r="E101" s="2"/>
      <x:c r="F101" s="2"/>
      <x:c r="G101" s="2"/>
      <x:c r="H101" s="2"/>
      <x:c r="I101" s="2"/>
      <x:c r="J101" s="2"/>
    </x:row>
    <x:row r="102" ht="15" hidden="0">
      <x:c r="A102" s="2"/>
      <x:c r="B102" s="2"/>
      <x:c r="C102" s="2"/>
      <x:c r="D102" s="2"/>
      <x:c r="E102" s="2"/>
      <x:c r="F102" s="2"/>
      <x:c r="G102" s="2"/>
      <x:c r="H102" s="2"/>
      <x:c r="I102" s="2"/>
      <x:c r="J102" s="2"/>
    </x:row>
    <x:row r="103" ht="15" hidden="0">
      <x:c r="A103" s="2"/>
      <x:c r="B103" s="2"/>
      <x:c r="C103" s="2"/>
      <x:c r="D103" s="2"/>
      <x:c r="E103" s="2"/>
      <x:c r="F103" s="2"/>
      <x:c r="G103" s="2"/>
      <x:c r="H103" s="2"/>
      <x:c r="I103" s="2"/>
      <x:c r="J103" s="2"/>
    </x:row>
    <x:row r="104" ht="15" hidden="0">
      <x:c r="A104" s="2"/>
      <x:c r="B104" s="2"/>
      <x:c r="C104" s="2"/>
      <x:c r="D104" s="2"/>
      <x:c r="E104" s="2"/>
      <x:c r="F104" s="2"/>
      <x:c r="G104" s="2"/>
      <x:c r="H104" s="2"/>
      <x:c r="I104" s="2"/>
      <x:c r="J104" s="2"/>
    </x:row>
    <x:row r="105" ht="15" hidden="0">
      <x:c r="A105" s="2"/>
      <x:c r="B105" s="2"/>
      <x:c r="C105" s="2"/>
      <x:c r="D105" s="2"/>
      <x:c r="E105" s="2"/>
      <x:c r="F105" s="2"/>
      <x:c r="G105" s="2"/>
      <x:c r="H105" s="2"/>
      <x:c r="I105" s="2"/>
      <x:c r="J105" s="2"/>
    </x:row>
    <x:row r="106" ht="15" hidden="0">
      <x:c r="A106" s="2"/>
      <x:c r="B106" s="2"/>
      <x:c r="C106" s="2"/>
      <x:c r="D106" s="2"/>
      <x:c r="E106" s="2"/>
      <x:c r="F106" s="2"/>
      <x:c r="G106" s="2"/>
      <x:c r="H106" s="2"/>
      <x:c r="I106" s="2"/>
      <x:c r="J106" s="2"/>
    </x:row>
    <x:row r="107" ht="15" hidden="0">
      <x:c r="A107" s="2"/>
      <x:c r="B107" s="2"/>
      <x:c r="C107" s="2"/>
      <x:c r="D107" s="2"/>
      <x:c r="E107" s="2"/>
      <x:c r="F107" s="2"/>
      <x:c r="G107" s="2"/>
      <x:c r="H107" s="2"/>
      <x:c r="I107" s="2"/>
      <x:c r="J107" s="2"/>
    </x:row>
    <x:row r="108" ht="15" hidden="0">
      <x:c r="A108" s="2"/>
      <x:c r="B108" s="2"/>
      <x:c r="C108" s="2"/>
      <x:c r="D108" s="2"/>
      <x:c r="E108" s="2"/>
      <x:c r="F108" s="2"/>
      <x:c r="G108" s="2"/>
      <x:c r="H108" s="2"/>
      <x:c r="I108" s="2"/>
      <x:c r="J108" s="2"/>
    </x:row>
    <x:row r="109" ht="15" hidden="0">
      <x:c r="A109" s="2"/>
      <x:c r="B109" s="2"/>
      <x:c r="C109" s="2"/>
      <x:c r="D109" s="2"/>
      <x:c r="E109" s="2"/>
      <x:c r="F109" s="2"/>
      <x:c r="G109" s="2"/>
      <x:c r="H109" s="2"/>
      <x:c r="I109" s="2"/>
      <x:c r="J109" s="2"/>
    </x:row>
    <x:row r="110" ht="15" hidden="0">
      <x:c r="A110" s="2"/>
      <x:c r="B110" s="2"/>
      <x:c r="C110" s="2"/>
      <x:c r="D110" s="2"/>
      <x:c r="E110" s="2"/>
      <x:c r="F110" s="2"/>
      <x:c r="G110" s="2"/>
      <x:c r="H110" s="2"/>
      <x:c r="I110" s="2"/>
      <x:c r="J110" s="2"/>
    </x:row>
    <x:row r="111" ht="15" hidden="0">
      <x:c r="A111" s="2"/>
      <x:c r="B111" s="2"/>
      <x:c r="C111" s="2"/>
      <x:c r="D111" s="2"/>
      <x:c r="E111" s="2"/>
      <x:c r="F111" s="2"/>
      <x:c r="G111" s="2"/>
      <x:c r="H111" s="2"/>
      <x:c r="I111" s="2"/>
      <x:c r="J111" s="2"/>
    </x:row>
    <x:row r="112" ht="15" hidden="0">
      <x:c r="A112" s="2"/>
      <x:c r="B112" s="2"/>
      <x:c r="C112" s="2"/>
      <x:c r="D112" s="2"/>
      <x:c r="E112" s="2"/>
      <x:c r="F112" s="2"/>
      <x:c r="G112" s="2"/>
      <x:c r="H112" s="2"/>
      <x:c r="I112" s="2"/>
      <x:c r="J112" s="2"/>
    </x:row>
    <x:row r="113" ht="15" hidden="0">
      <x:c r="A113" s="2"/>
      <x:c r="B113" s="2"/>
      <x:c r="C113" s="2"/>
      <x:c r="D113" s="2"/>
      <x:c r="E113" s="2"/>
      <x:c r="F113" s="2"/>
      <x:c r="G113" s="2"/>
      <x:c r="H113" s="2"/>
      <x:c r="I113" s="2"/>
      <x:c r="J113" s="2"/>
    </x:row>
    <x:row r="114" ht="15" hidden="0">
      <x:c r="A114" s="2"/>
      <x:c r="B114" s="2"/>
      <x:c r="C114" s="2"/>
      <x:c r="D114" s="2"/>
      <x:c r="E114" s="2"/>
      <x:c r="F114" s="2"/>
      <x:c r="G114" s="2"/>
      <x:c r="H114" s="2"/>
      <x:c r="I114" s="2"/>
      <x:c r="J114" s="2"/>
    </x:row>
    <x:row r="115" ht="15" hidden="0">
      <x:c r="A115" s="2"/>
      <x:c r="B115" s="2"/>
      <x:c r="C115" s="2"/>
      <x:c r="D115" s="2"/>
      <x:c r="E115" s="2"/>
      <x:c r="F115" s="2"/>
      <x:c r="G115" s="2"/>
      <x:c r="H115" s="2"/>
      <x:c r="I115" s="2"/>
      <x:c r="J115" s="2"/>
    </x:row>
    <x:row r="116" ht="15" hidden="0">
      <x:c r="A116" s="2"/>
      <x:c r="B116" s="2"/>
      <x:c r="C116" s="2"/>
      <x:c r="D116" s="2"/>
      <x:c r="E116" s="2"/>
      <x:c r="F116" s="2"/>
      <x:c r="G116" s="2"/>
      <x:c r="H116" s="2"/>
      <x:c r="I116" s="2"/>
      <x:c r="J116" s="2"/>
    </x:row>
    <x:row r="117" ht="15" hidden="0">
      <x:c r="A117" s="2"/>
      <x:c r="B117" s="2"/>
      <x:c r="C117" s="2"/>
      <x:c r="D117" s="2"/>
      <x:c r="E117" s="2"/>
      <x:c r="F117" s="2"/>
      <x:c r="G117" s="2"/>
      <x:c r="H117" s="2"/>
      <x:c r="I117" s="2"/>
      <x:c r="J117" s="2"/>
    </x:row>
    <x:row r="118" ht="15" hidden="0">
      <x:c r="A118" s="2"/>
      <x:c r="B118" s="2"/>
      <x:c r="C118" s="2"/>
      <x:c r="D118" s="2"/>
      <x:c r="E118" s="2"/>
      <x:c r="F118" s="2"/>
      <x:c r="G118" s="2"/>
      <x:c r="H118" s="2"/>
      <x:c r="I118" s="2"/>
      <x:c r="J118" s="2"/>
    </x:row>
    <x:row r="119" ht="15" hidden="0">
      <x:c r="A119" s="2"/>
      <x:c r="B119" s="2"/>
      <x:c r="C119" s="2"/>
      <x:c r="D119" s="2"/>
      <x:c r="E119" s="2"/>
      <x:c r="F119" s="2"/>
      <x:c r="G119" s="2"/>
      <x:c r="H119" s="2"/>
      <x:c r="I119" s="2"/>
      <x:c r="J119" s="2"/>
    </x:row>
    <x:row r="120" ht="15" hidden="0">
      <x:c r="A120" s="2"/>
      <x:c r="B120" s="2"/>
      <x:c r="C120" s="2"/>
      <x:c r="D120" s="2"/>
      <x:c r="E120" s="2"/>
      <x:c r="F120" s="2"/>
      <x:c r="G120" s="2"/>
      <x:c r="H120" s="2"/>
      <x:c r="I120" s="2"/>
      <x:c r="J120" s="2"/>
    </x:row>
  </x:sheetData>
  <x:mergeCells>
    <x:mergeCell ref="A1:J1"/>
    <x:mergeCell ref="B2:J3"/>
    <x:mergeCell ref="B48:J50"/>
    <x:mergeCell ref="B53:J56"/>
    <x:mergeCell ref="B59:J61"/>
  </x:mergeCells>
  <x:pageMargins left="0.7" right="0.7" top="0.75" bottom="0.75" header="0.3" footer="0.3"/>
  <x:legacyDrawing xmlns:r="http://schemas.openxmlformats.org/officeDocument/2006/relationships" r:id="R1171cf31d6c44709"/>
</x:worksheet>
</file>

<file path=xl/worksheets/sheet7.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7" width="13"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TRADING COMPARABLES</x:v>
      </x:c>
      <x:c r="B1" s="113"/>
      <x:c r="C1" s="113"/>
      <x:c r="D1" s="113"/>
      <x:c r="E1" s="113"/>
      <x:c r="F1" s="113"/>
      <x:c r="G1" s="113"/>
      <x:c r="H1" s="113"/>
      <x:c r="I1" s="113"/>
      <x:c r="J1" s="113"/>
      <x:c r="K1" s="2"/>
      <x:c r="L1" s="2"/>
    </x:row>
    <x:row r="2" ht="20" hidden="0" customHeight="1">
      <x:c r="A2" s="103"/>
      <x:c r="B2" s="117" t="str">
        <x:v>Consolidated EBITDA basis. Peer values are market assumptions; selected multiples are editable underwriting inputs.</x:v>
      </x:c>
      <x:c r="C2" s="117"/>
      <x:c r="D2" s="117"/>
      <x:c r="E2" s="117"/>
      <x:c r="F2" s="117"/>
      <x:c r="G2" s="117"/>
      <x:c r="H2" s="117"/>
      <x:c r="I2" s="117"/>
      <x:c r="J2" s="117"/>
      <x:c r="K2" s="2"/>
      <x:c r="L2" s="2"/>
    </x:row>
    <x:row r="3" ht="20" hidden="0" customHeight="1">
      <x:c r="A3" s="90"/>
      <x:c r="B3" s="118"/>
      <x:c r="C3" s="118"/>
      <x:c r="D3" s="118"/>
      <x:c r="E3" s="118"/>
      <x:c r="F3" s="118"/>
      <x:c r="G3" s="118"/>
      <x:c r="H3" s="118"/>
      <x:c r="I3" s="118"/>
      <x:c r="J3" s="118"/>
      <x:c r="K3" s="2"/>
      <x:c r="L3" s="2"/>
    </x:row>
    <x:row r="4" ht="20" hidden="0" customHeight="1">
      <x:c r="A4" s="88"/>
      <x:c r="B4" s="88"/>
      <x:c r="C4" s="88"/>
      <x:c r="D4" s="88"/>
      <x:c r="E4" s="88"/>
      <x:c r="F4" s="88"/>
      <x:c r="G4" s="88"/>
      <x:c r="H4" s="88"/>
      <x:c r="I4" s="88"/>
      <x:c r="J4" s="88"/>
      <x:c r="K4" s="2"/>
      <x:c r="L4" s="2"/>
    </x:row>
    <x:row r="5" ht="34" hidden="0" customHeight="1">
      <x:c r="A5" s="90"/>
      <x:c r="B5" s="297" t="str">
        <x:v>Peer</x:v>
      </x:c>
      <x:c r="C5" s="297" t="str">
        <x:v>Ticker</x:v>
      </x:c>
      <x:c r="D5" s="298" t="str">
        <x:v>Enterprise value</x:v>
      </x:c>
      <x:c r="E5" s="298" t="str">
        <x:v>EBITDA</x:v>
      </x:c>
      <x:c r="F5" s="298" t="str">
        <x:v>EV / EBITDA</x:v>
      </x:c>
      <x:c r="G5" s="137"/>
      <x:c r="H5" s="90"/>
      <x:c r="I5" s="90"/>
      <x:c r="J5" s="90"/>
      <x:c r="K5" s="2"/>
      <x:c r="L5" s="2"/>
    </x:row>
    <x:row r="6" ht="20" hidden="0" customHeight="1">
      <x:c r="A6" s="90"/>
      <x:c r="B6" s="90" t="str">
        <x:v>Acadia Healthcare</x:v>
      </x:c>
      <x:c r="C6" s="90" t="str">
        <x:v>ACHC</x:v>
      </x:c>
      <x:c r="D6" s="127" t="n">
        <x:v>5248</x:v>
      </x:c>
      <x:c r="E6" s="127" t="n">
        <x:v>534.8</x:v>
      </x:c>
      <x:c r="F6" s="146" t="n">
        <x:f aca="0">IF(E6&gt;0,D6/E6,0)</x:f>
        <x:v>9.81301421091997</x:v>
      </x:c>
      <x:c r="G6" s="90"/>
      <x:c r="H6" s="90"/>
      <x:c r="I6" s="90"/>
      <x:c r="J6" s="90"/>
      <x:c r="K6" s="2"/>
      <x:c r="L6" s="2"/>
    </x:row>
    <x:row r="7" ht="20" hidden="0" customHeight="1">
      <x:c r="A7" s="90"/>
      <x:c r="B7" s="90" t="str">
        <x:v>Ardent Health</x:v>
      </x:c>
      <x:c r="C7" s="90" t="str">
        <x:v>ARDT</x:v>
      </x:c>
      <x:c r="D7" s="127" t="n">
        <x:v>3472.4</x:v>
      </x:c>
      <x:c r="E7" s="127" t="n">
        <x:v>422.4</x:v>
      </x:c>
      <x:c r="F7" s="146" t="n">
        <x:f aca="0">IF(E7&gt;0,D7/E7,0)</x:f>
        <x:v>8.22064393939394</x:v>
      </x:c>
      <x:c r="G7" s="90"/>
      <x:c r="H7" s="90"/>
      <x:c r="I7" s="90"/>
      <x:c r="J7" s="90"/>
      <x:c r="K7" s="2"/>
      <x:c r="L7" s="2"/>
    </x:row>
    <x:row r="8" ht="20" hidden="0" customHeight="1">
      <x:c r="A8" s="90"/>
      <x:c r="B8" s="90" t="str">
        <x:v>Tenet Healthcare</x:v>
      </x:c>
      <x:c r="C8" s="90" t="str">
        <x:v>THC</x:v>
      </x:c>
      <x:c r="D8" s="127" t="n">
        <x:v>36461.6</x:v>
      </x:c>
      <x:c r="E8" s="127" t="n">
        <x:v>4844</x:v>
      </x:c>
      <x:c r="F8" s="146" t="n">
        <x:f aca="0">IF(E8&gt;0,D8/E8,0)</x:f>
        <x:v>7.527167630057803</x:v>
      </x:c>
      <x:c r="G8" s="90"/>
      <x:c r="H8" s="90"/>
      <x:c r="I8" s="90"/>
      <x:c r="J8" s="90"/>
      <x:c r="K8" s="2"/>
      <x:c r="L8" s="2"/>
    </x:row>
    <x:row r="9" ht="20" hidden="0" customHeight="1">
      <x:c r="A9" s="90"/>
      <x:c r="B9" s="90" t="str">
        <x:v>Concentra</x:v>
      </x:c>
      <x:c r="C9" s="90" t="str">
        <x:v>CON</x:v>
      </x:c>
      <x:c r="D9" s="127" t="n">
        <x:v>6410.6</x:v>
      </x:c>
      <x:c r="E9" s="127" t="n">
        <x:v>461.6</x:v>
      </x:c>
      <x:c r="F9" s="146" t="n">
        <x:f aca="0">IF(E9&gt;0,D9/E9,0)</x:f>
        <x:v>13.887781629116118</x:v>
      </x:c>
      <x:c r="G9" s="90"/>
      <x:c r="H9" s="90"/>
      <x:c r="I9" s="90"/>
      <x:c r="J9" s="90"/>
      <x:c r="K9" s="2"/>
      <x:c r="L9" s="2"/>
    </x:row>
    <x:row r="10" ht="20" hidden="0" customHeight="1">
      <x:c r="A10" s="90"/>
      <x:c r="B10" s="88"/>
      <x:c r="C10" s="90"/>
      <x:c r="D10" s="90"/>
      <x:c r="E10" s="90"/>
      <x:c r="F10" s="228">
        <x:f aca="0"/>
      </x:c>
      <x:c r="G10" s="90"/>
      <x:c r="H10" s="90"/>
      <x:c r="I10" s="90"/>
      <x:c r="J10" s="90"/>
      <x:c r="K10" s="2"/>
      <x:c r="L10" s="2"/>
    </x:row>
    <x:row r="11" ht="20" hidden="0" customHeight="1">
      <x:c r="A11" s="90"/>
      <x:c r="B11" s="88" t="str">
        <x:v>Median peer multiple</x:v>
      </x:c>
      <x:c r="C11" s="90"/>
      <x:c r="D11" s="90"/>
      <x:c r="E11" s="90"/>
      <x:c r="F11" s="230" t="n">
        <x:f aca="0">MEDIAN(F6:F9)</x:f>
        <x:v>9.016829075156956</x:v>
      </x:c>
      <x:c r="G11" s="90"/>
      <x:c r="H11" s="90"/>
      <x:c r="I11" s="90"/>
      <x:c r="J11" s="90"/>
      <x:c r="K11" s="2"/>
      <x:c r="L11" s="2"/>
    </x:row>
    <x:row r="12" ht="20" hidden="0" customHeight="1">
      <x:c r="A12" s="90"/>
      <x:c r="B12" s="88"/>
      <x:c r="C12" s="90"/>
      <x:c r="D12" s="90"/>
      <x:c r="E12" s="90"/>
      <x:c r="F12" s="228">
        <x:f aca="0"/>
      </x:c>
      <x:c r="G12" s="90"/>
      <x:c r="H12" s="90"/>
      <x:c r="I12" s="90"/>
      <x:c r="J12" s="90"/>
      <x:c r="K12" s="2"/>
      <x:c r="L12" s="2"/>
    </x:row>
    <x:row r="13" ht="20" hidden="0" customHeight="1">
      <x:c r="A13" s="90"/>
      <x:c r="B13" s="88"/>
      <x:c r="C13" s="90"/>
      <x:c r="D13" s="106">
        <x:f aca="0"/>
      </x:c>
      <x:c r="E13" s="106"/>
      <x:c r="F13" s="228">
        <x:f aca="0"/>
      </x:c>
      <x:c r="G13" s="90"/>
      <x:c r="H13" s="90"/>
      <x:c r="I13" s="90"/>
      <x:c r="J13" s="90"/>
      <x:c r="K13" s="2"/>
      <x:c r="L13" s="2"/>
    </x:row>
    <x:row r="14" ht="24" hidden="0" customHeight="1">
      <x:c r="A14" s="90"/>
      <x:c r="B14" s="121" t="str">
        <x:v>CONSOLIDATED ENTERPRISE VALUE TO PARENT EQUITY</x:v>
      </x:c>
      <x:c r="C14" s="121"/>
      <x:c r="D14" s="121"/>
      <x:c r="E14" s="121"/>
      <x:c r="F14" s="121"/>
      <x:c r="G14" s="121"/>
      <x:c r="H14" s="121"/>
      <x:c r="I14" s="121"/>
      <x:c r="J14" s="121"/>
      <x:c r="K14" s="2"/>
      <x:c r="L14" s="2"/>
    </x:row>
    <x:row r="15" ht="20" hidden="0" customHeight="1">
      <x:c r="A15" s="88"/>
      <x:c r="B15" s="88"/>
      <x:c r="C15" s="88"/>
      <x:c r="D15" s="88"/>
      <x:c r="E15" s="88"/>
      <x:c r="F15" s="88"/>
      <x:c r="G15" s="88"/>
      <x:c r="H15" s="88"/>
      <x:c r="I15" s="88"/>
      <x:c r="J15" s="88"/>
      <x:c r="K15" s="2"/>
      <x:c r="L15" s="2"/>
    </x:row>
    <x:row r="16" ht="20" hidden="0" customHeight="1">
      <x:c r="A16" s="90"/>
      <x:c r="B16" s="90" t="str">
        <x:v>Selected low / high multiple</x:v>
      </x:c>
      <x:c r="C16" s="231" t="n">
        <x:f>'Assumptions'!C35</x:f>
        <x:v>8</x:v>
      </x:c>
      <x:c r="D16" s="221" t="n">
        <x:f>'Assumptions'!C36</x:f>
        <x:v>10</x:v>
      </x:c>
      <x:c r="E16" s="90"/>
      <x:c r="F16" s="90"/>
      <x:c r="G16" s="90"/>
      <x:c r="H16" s="90"/>
      <x:c r="I16" s="90"/>
      <x:c r="J16" s="90"/>
      <x:c r="K16" s="2"/>
      <x:c r="L16" s="2"/>
    </x:row>
    <x:row r="17" ht="20" hidden="0" customHeight="1">
      <x:c r="A17" s="90"/>
      <x:c r="B17" s="90"/>
      <x:c r="C17" s="109"/>
      <x:c r="D17" s="90"/>
      <x:c r="E17" s="90"/>
      <x:c r="F17" s="90"/>
      <x:c r="G17" s="90"/>
      <x:c r="H17" s="90"/>
      <x:c r="I17" s="90"/>
      <x:c r="J17" s="90"/>
      <x:c r="K17" s="2"/>
      <x:c r="L17" s="2"/>
    </x:row>
    <x:row r="18" ht="20" hidden="0" customHeight="1">
      <x:c r="A18" s="90"/>
      <x:c r="B18" s="90" t="str">
        <x:v>LTM consolidated GAAP EBITDA proxy</x:v>
      </x:c>
      <x:c r="C18" s="177" t="n">
        <x:f>'Source Inputs'!C55</x:f>
        <x:v>560.9999999999999</x:v>
      </x:c>
      <x:c r="D18" s="90"/>
      <x:c r="E18" s="90"/>
      <x:c r="F18" s="90"/>
      <x:c r="G18" s="90"/>
      <x:c r="H18" s="90"/>
      <x:c r="I18" s="90"/>
      <x:c r="J18" s="90"/>
      <x:c r="K18" s="2"/>
      <x:c r="L18" s="2"/>
    </x:row>
    <x:row r="19" ht="20" hidden="0" customHeight="1">
      <x:c r="A19" s="90"/>
      <x:c r="B19" s="90" t="str">
        <x:v>Funded debt less excess cash</x:v>
      </x:c>
      <x:c r="C19" s="177" t="n">
        <x:f aca="0">'Source Inputs'!C53</x:f>
        <x:v>3665.5000000000005</x:v>
      </x:c>
      <x:c r="D19" s="90"/>
      <x:c r="E19" s="90"/>
      <x:c r="F19" s="90"/>
      <x:c r="G19" s="90"/>
      <x:c r="H19" s="90"/>
      <x:c r="I19" s="90"/>
      <x:c r="J19" s="90"/>
      <x:c r="K19" s="2"/>
      <x:c r="L19" s="2"/>
    </x:row>
    <x:row r="20" ht="20" hidden="0" customHeight="1">
      <x:c r="A20" s="90"/>
      <x:c r="B20" s="90" t="str">
        <x:v>NCI valuation assumption</x:v>
      </x:c>
      <x:c r="C20" s="177" t="n">
        <x:f>'Assumptions'!C34</x:f>
        <x:v>1797.7</x:v>
      </x:c>
      <x:c r="D20" s="90"/>
      <x:c r="E20" s="90"/>
      <x:c r="F20" s="90"/>
      <x:c r="G20" s="90"/>
      <x:c r="H20" s="90"/>
      <x:c r="I20" s="90"/>
      <x:c r="J20" s="90"/>
      <x:c r="K20" s="2"/>
      <x:c r="L20" s="2"/>
    </x:row>
    <x:row r="21" ht="20" hidden="0" customHeight="1">
      <x:c r="A21" s="90"/>
      <x:c r="B21" s="90"/>
      <x:c r="C21" s="90"/>
      <x:c r="D21" s="90"/>
      <x:c r="E21" s="90"/>
      <x:c r="F21" s="90"/>
      <x:c r="G21" s="90"/>
      <x:c r="H21" s="90"/>
      <x:c r="I21" s="90"/>
      <x:c r="J21" s="90"/>
      <x:c r="K21" s="2"/>
      <x:c r="L21" s="2"/>
    </x:row>
    <x:row r="22" ht="20" hidden="0" customHeight="1">
      <x:c r="A22" s="90"/>
      <x:c r="B22" s="90" t="str">
        <x:v>Consolidated enterprise value</x:v>
      </x:c>
      <x:c r="C22" s="130" t="n">
        <x:f>C16*$C$18</x:f>
        <x:v>4487.999999999999</x:v>
      </x:c>
      <x:c r="D22" s="130" t="n">
        <x:f>D16*$C$18</x:f>
        <x:v>5609.999999999999</x:v>
      </x:c>
      <x:c r="E22" s="90"/>
      <x:c r="F22" s="90"/>
      <x:c r="G22" s="90"/>
      <x:c r="H22" s="90"/>
      <x:c r="I22" s="90"/>
      <x:c r="J22" s="90"/>
      <x:c r="K22" s="2"/>
      <x:c r="L22" s="2"/>
    </x:row>
    <x:row r="23" ht="20" hidden="0" customHeight="1">
      <x:c r="A23" s="90"/>
      <x:c r="B23" s="88" t="str">
        <x:v>Less net debt and NCI</x:v>
      </x:c>
      <x:c r="C23" s="130" t="n">
        <x:f aca="0">-$C$19-$C$20</x:f>
        <x:v>-5463.200000000001</x:v>
      </x:c>
      <x:c r="D23" s="130" t="n">
        <x:f aca="0">-$C$19-$C$20</x:f>
        <x:v>-5463.200000000001</x:v>
      </x:c>
      <x:c r="E23" s="90"/>
      <x:c r="F23" s="90"/>
      <x:c r="G23" s="90"/>
      <x:c r="H23" s="90"/>
      <x:c r="I23" s="90"/>
      <x:c r="J23" s="90"/>
      <x:c r="K23" s="2"/>
      <x:c r="L23" s="2"/>
    </x:row>
    <x:row r="24" ht="20" hidden="0" customHeight="1">
      <x:c r="A24" s="90"/>
      <x:c r="B24" s="90" t="str">
        <x:v>Parent equity value</x:v>
      </x:c>
      <x:c r="C24" s="127" t="n">
        <x:f aca="0">C22+C23</x:f>
        <x:v>-975.2000000000016</x:v>
      </x:c>
      <x:c r="D24" s="127" t="n">
        <x:f aca="0">D22+D23</x:f>
        <x:v>146.79999999999836</x:v>
      </x:c>
      <x:c r="E24" s="90"/>
      <x:c r="F24" s="90"/>
      <x:c r="G24" s="90"/>
      <x:c r="H24" s="90"/>
      <x:c r="I24" s="90"/>
      <x:c r="J24" s="90"/>
      <x:c r="K24" s="2"/>
      <x:c r="L24" s="2"/>
    </x:row>
    <x:row r="25" ht="20" hidden="0" customHeight="1">
      <x:c r="A25" s="90"/>
      <x:c r="B25" s="174" t="str">
        <x:v>Per diluted share</x:v>
      </x:c>
      <x:c r="C25" s="227" t="n">
        <x:f aca="0">IF('Source Inputs'!C50&gt;0,MAX(0,C24)/'Source Inputs'!C50,0)</x:f>
        <x:v>0</x:v>
      </x:c>
      <x:c r="D25" s="227" t="n">
        <x:f aca="0">IF('Source Inputs'!C50&gt;0,MAX(0,D24)/'Source Inputs'!C50,0)</x:f>
        <x:v>1.136020677433571</x:v>
      </x:c>
      <x:c r="E25" s="174"/>
      <x:c r="F25" s="174"/>
      <x:c r="G25" s="174"/>
      <x:c r="H25" s="90"/>
      <x:c r="I25" s="90"/>
      <x:c r="J25" s="90"/>
      <x:c r="K25" s="2"/>
      <x:c r="L25" s="2"/>
    </x:row>
    <x:row r="26" ht="20" hidden="0" customHeight="1">
      <x:c r="A26" s="90"/>
      <x:c r="B26" s="88"/>
      <x:c r="C26" s="212">
        <x:f aca="0"/>
      </x:c>
      <x:c r="D26" s="212">
        <x:f aca="0"/>
      </x:c>
      <x:c r="E26" s="90"/>
      <x:c r="F26" s="90"/>
      <x:c r="G26" s="90"/>
      <x:c r="H26" s="90"/>
      <x:c r="I26" s="90"/>
      <x:c r="J26" s="90"/>
      <x:c r="K26" s="2"/>
      <x:c r="L26" s="2"/>
    </x:row>
    <x:row r="27" ht="20" hidden="0" customHeight="1">
      <x:c r="A27" s="90"/>
      <x:c r="B27" s="90"/>
      <x:c r="C27" s="90"/>
      <x:c r="D27" s="90"/>
      <x:c r="E27" s="90"/>
      <x:c r="F27" s="90"/>
      <x:c r="G27" s="90"/>
      <x:c r="H27" s="90"/>
      <x:c r="I27" s="90"/>
      <x:c r="J27" s="90"/>
      <x:c r="K27" s="2"/>
      <x:c r="L27" s="2"/>
    </x:row>
    <x:row r="28" ht="20" hidden="0" customHeight="1">
      <x:c r="A28" s="90"/>
      <x:c r="B28" s="103" t="str">
        <x:v>Current consolidated enterprise value</x:v>
      </x:c>
      <x:c r="C28" s="157" t="n">
        <x:f>'Assumptions'!C43*'Source Inputs'!C50+C19+C20</x:f>
        <x:v>7305.919980000001</x:v>
      </x:c>
      <x:c r="D28" s="90"/>
      <x:c r="E28" s="90"/>
      <x:c r="F28" s="90"/>
      <x:c r="G28" s="90"/>
      <x:c r="H28" s="90"/>
      <x:c r="I28" s="90"/>
      <x:c r="J28" s="90"/>
      <x:c r="K28" s="2"/>
      <x:c r="L28" s="2"/>
    </x:row>
    <x:row r="29" ht="20" hidden="0" customHeight="1">
      <x:c r="A29" s="90"/>
      <x:c r="B29" s="103" t="str">
        <x:v>Current EV / LTM GAAP EBITDA</x:v>
      </x:c>
      <x:c r="C29" s="149" t="n">
        <x:f>IF(C18&gt;0,C28/C18,0)</x:f>
        <x:v>13.023030267379683</x:v>
      </x:c>
      <x:c r="D29" s="90"/>
      <x:c r="E29" s="90"/>
      <x:c r="F29" s="90"/>
      <x:c r="G29" s="90"/>
      <x:c r="H29" s="90"/>
      <x:c r="I29" s="90"/>
      <x:c r="J29" s="90"/>
      <x:c r="K29" s="2"/>
      <x:c r="L29" s="2"/>
    </x:row>
    <x:row r="30" ht="20" hidden="0" customHeight="1">
      <x:c r="A30" s="90"/>
      <x:c r="B30" s="90"/>
      <x:c r="C30" s="90"/>
      <x:c r="D30" s="90"/>
      <x:c r="E30" s="90"/>
      <x:c r="F30" s="90"/>
      <x:c r="G30" s="90"/>
      <x:c r="H30" s="90"/>
      <x:c r="I30" s="90"/>
      <x:c r="J30" s="90"/>
      <x:c r="K30" s="2"/>
      <x:c r="L30" s="2"/>
    </x:row>
    <x:row r="31" ht="20" hidden="0" customHeight="1">
      <x:c r="A31" s="90"/>
      <x:c r="B31" s="90"/>
      <x:c r="C31" s="90"/>
      <x:c r="D31" s="90"/>
      <x:c r="E31" s="90"/>
      <x:c r="F31" s="90"/>
      <x:c r="G31" s="90"/>
      <x:c r="H31" s="90"/>
      <x:c r="I31" s="90"/>
      <x:c r="J31" s="90"/>
      <x:c r="K31" s="2"/>
      <x:c r="L31" s="2"/>
    </x:row>
    <x:row r="32" ht="20" hidden="0" customHeight="1">
      <x:c r="A32" s="90"/>
      <x:c r="B32" s="118" t="str">
        <x:v>Peer enterprise values and EBITDA are September 4, 2026 market assumptions from the supplied peer set. Lease and minority-interest conventions must match the selected consolidated multiple. The SGRY denominator is operating income plus D&amp;A over the last twelve months, not company Adjusted EBITDA.</x:v>
      </x:c>
      <x:c r="C32" s="118"/>
      <x:c r="D32" s="118"/>
      <x:c r="E32" s="118"/>
      <x:c r="F32" s="118"/>
      <x:c r="G32" s="118"/>
      <x:c r="H32" s="118"/>
      <x:c r="I32" s="118"/>
      <x:c r="J32" s="118"/>
      <x:c r="K32" s="2"/>
      <x:c r="L32" s="2"/>
    </x:row>
    <x:row r="33" ht="20" hidden="0" customHeight="1">
      <x:c r="A33" s="90"/>
      <x:c r="B33" s="118"/>
      <x:c r="C33" s="118"/>
      <x:c r="D33" s="118"/>
      <x:c r="E33" s="118"/>
      <x:c r="F33" s="118"/>
      <x:c r="G33" s="118"/>
      <x:c r="H33" s="118"/>
      <x:c r="I33" s="118"/>
      <x:c r="J33" s="118"/>
      <x:c r="K33" s="2"/>
      <x:c r="L33" s="2"/>
    </x:row>
    <x:row r="34" ht="20" hidden="0" customHeight="1">
      <x:c r="A34" s="90"/>
      <x:c r="B34" s="118"/>
      <x:c r="C34" s="118"/>
      <x:c r="D34" s="118"/>
      <x:c r="E34" s="118"/>
      <x:c r="F34" s="118"/>
      <x:c r="G34" s="118"/>
      <x:c r="H34" s="118"/>
      <x:c r="I34" s="118"/>
      <x:c r="J34" s="118"/>
      <x:c r="K34" s="2"/>
      <x:c r="L34" s="2"/>
    </x:row>
    <x:row r="35" ht="20" hidden="0" customHeight="1">
      <x:c r="A35" s="90"/>
      <x:c r="B35" s="118"/>
      <x:c r="C35" s="118"/>
      <x:c r="D35" s="118"/>
      <x:c r="E35" s="118"/>
      <x:c r="F35" s="118"/>
      <x:c r="G35" s="118"/>
      <x:c r="H35" s="118"/>
      <x:c r="I35" s="118"/>
      <x:c r="J35" s="118"/>
      <x:c r="K35" s="2"/>
      <x:c r="L35" s="2"/>
    </x:row>
    <x:row r="36" ht="20" hidden="0" customHeight="1">
      <x:c r="A36" s="90"/>
      <x:c r="B36" s="90"/>
      <x:c r="C36" s="90"/>
      <x:c r="D36" s="90"/>
      <x:c r="E36" s="90"/>
      <x:c r="F36" s="90"/>
      <x:c r="G36" s="90"/>
      <x:c r="H36" s="90"/>
      <x:c r="I36" s="90"/>
      <x:c r="J36" s="90"/>
      <x:c r="K36" s="2"/>
      <x:c r="L36" s="2"/>
    </x:row>
    <x:row r="37" ht="20" hidden="0" customHeight="1">
      <x:c r="A37" s="90"/>
      <x:c r="B37" s="90"/>
      <x:c r="C37" s="90"/>
      <x:c r="D37" s="90"/>
      <x:c r="E37" s="90"/>
      <x:c r="F37" s="90"/>
      <x:c r="G37" s="90"/>
      <x:c r="H37" s="90"/>
      <x:c r="I37" s="90"/>
      <x:c r="J37" s="90"/>
      <x:c r="K37" s="2"/>
      <x:c r="L37" s="2"/>
    </x:row>
    <x:row r="38" ht="20" hidden="0" customHeight="1">
      <x:c r="A38" s="90"/>
      <x:c r="B38" s="118" t="str">
        <x:v>NCI uses an explicit valuation assumption seeded from reported book value. Book value is not a market appraisal. The DCF instead pays physician claims in cash flows, so differences between these lenses can be economically meaningful.</x:v>
      </x:c>
      <x:c r="C38" s="118"/>
      <x:c r="D38" s="118"/>
      <x:c r="E38" s="118"/>
      <x:c r="F38" s="118"/>
      <x:c r="G38" s="118"/>
      <x:c r="H38" s="118"/>
      <x:c r="I38" s="118"/>
      <x:c r="J38" s="118"/>
      <x:c r="K38" s="2"/>
      <x:c r="L38" s="2"/>
    </x:row>
    <x:row r="39" ht="20" hidden="0" customHeight="1">
      <x:c r="A39" s="90"/>
      <x:c r="B39" s="118"/>
      <x:c r="C39" s="118"/>
      <x:c r="D39" s="118"/>
      <x:c r="E39" s="118"/>
      <x:c r="F39" s="118"/>
      <x:c r="G39" s="118"/>
      <x:c r="H39" s="118"/>
      <x:c r="I39" s="118"/>
      <x:c r="J39" s="118"/>
      <x:c r="K39" s="2"/>
      <x:c r="L39" s="2"/>
    </x:row>
    <x:row r="40" ht="20" hidden="0" customHeight="1">
      <x:c r="A40" s="90"/>
      <x:c r="B40" s="118"/>
      <x:c r="C40" s="118"/>
      <x:c r="D40" s="118"/>
      <x:c r="E40" s="118"/>
      <x:c r="F40" s="118"/>
      <x:c r="G40" s="118"/>
      <x:c r="H40" s="118"/>
      <x:c r="I40" s="118"/>
      <x:c r="J40" s="118"/>
      <x:c r="K40" s="2"/>
      <x:c r="L40" s="2"/>
    </x:row>
    <x:row r="41" ht="20" hidden="0" customHeight="1">
      <x:c r="A41" s="90"/>
      <x:c r="B41" s="90"/>
      <x:c r="C41" s="90"/>
      <x:c r="D41" s="90"/>
      <x:c r="E41" s="90"/>
      <x:c r="F41" s="90"/>
      <x:c r="G41" s="90"/>
      <x:c r="H41" s="90"/>
      <x:c r="I41" s="90"/>
      <x:c r="J41" s="90"/>
      <x:c r="K41" s="2"/>
      <x:c r="L41" s="2"/>
    </x:row>
    <x:row r="42" ht="20" hidden="0" customHeight="1">
      <x:c r="A42" s="90"/>
      <x:c r="B42" s="90"/>
      <x:c r="C42" s="90"/>
      <x:c r="D42" s="90"/>
      <x:c r="E42" s="90"/>
      <x:c r="F42" s="90"/>
      <x:c r="G42" s="90"/>
      <x:c r="H42" s="90"/>
      <x:c r="I42" s="90"/>
      <x:c r="J42" s="90"/>
      <x:c r="K42" s="2"/>
      <x:c r="L42" s="2"/>
    </x:row>
    <x:row r="43" ht="20" hidden="0" customHeight="1">
      <x:c r="A43" s="90"/>
      <x:c r="B43" s="90"/>
      <x:c r="C43" s="90"/>
      <x:c r="D43" s="90"/>
      <x:c r="E43" s="90"/>
      <x:c r="F43" s="90"/>
      <x:c r="G43" s="90"/>
      <x:c r="H43" s="90"/>
      <x:c r="I43" s="90"/>
      <x:c r="J43" s="90"/>
      <x:c r="K43" s="2"/>
      <x:c r="L43" s="2"/>
    </x:row>
    <x:row r="44" ht="20" hidden="0" customHeight="1">
      <x:c r="A44" s="90"/>
      <x:c r="B44" s="90"/>
      <x:c r="C44" s="90"/>
      <x:c r="D44" s="90"/>
      <x:c r="E44" s="90"/>
      <x:c r="F44" s="90"/>
      <x:c r="G44" s="90"/>
      <x:c r="H44" s="90"/>
      <x:c r="I44" s="90"/>
      <x:c r="J44" s="90"/>
      <x:c r="K44" s="2"/>
      <x:c r="L44" s="2"/>
    </x:row>
    <x:row r="45" ht="20" hidden="0" customHeight="1">
      <x:c r="A45" s="90"/>
      <x:c r="B45" s="90"/>
      <x:c r="C45" s="90"/>
      <x:c r="D45" s="90"/>
      <x:c r="E45" s="90"/>
      <x:c r="F45" s="90"/>
      <x:c r="G45" s="90"/>
      <x:c r="H45" s="90"/>
      <x:c r="I45" s="90"/>
      <x:c r="J45" s="90"/>
      <x:c r="K45" s="2"/>
      <x:c r="L45" s="2"/>
    </x:row>
    <x:row r="46" ht="20" hidden="0" customHeight="1">
      <x:c r="A46" s="90"/>
      <x:c r="B46" s="90"/>
      <x:c r="C46" s="90"/>
      <x:c r="D46" s="90"/>
      <x:c r="E46" s="90"/>
      <x:c r="F46" s="90"/>
      <x:c r="G46" s="90"/>
      <x:c r="H46" s="90"/>
      <x:c r="I46" s="90"/>
      <x:c r="J46" s="90"/>
      <x:c r="K46" s="2"/>
      <x:c r="L46" s="2"/>
    </x:row>
    <x:row r="47" ht="20" hidden="0" customHeight="1">
      <x:c r="A47" s="90"/>
      <x:c r="B47" s="90"/>
      <x:c r="C47" s="90"/>
      <x:c r="D47" s="90"/>
      <x:c r="E47" s="90"/>
      <x:c r="F47" s="90"/>
      <x:c r="G47" s="90"/>
      <x:c r="H47" s="90"/>
      <x:c r="I47" s="90"/>
      <x:c r="J47" s="90"/>
      <x:c r="K47" s="2"/>
      <x:c r="L47" s="2"/>
    </x:row>
    <x:row r="48" ht="20" hidden="0" customHeight="1">
      <x:c r="A48" s="90"/>
      <x:c r="B48" s="90"/>
      <x:c r="C48" s="90"/>
      <x:c r="D48" s="90"/>
      <x:c r="E48" s="90"/>
      <x:c r="F48" s="90"/>
      <x:c r="G48" s="90"/>
      <x:c r="H48" s="90"/>
      <x:c r="I48" s="90"/>
      <x:c r="J48" s="90"/>
      <x:c r="K48" s="2"/>
      <x:c r="L48" s="2"/>
    </x:row>
    <x:row r="49" ht="20" hidden="0" customHeight="1">
      <x:c r="A49" s="90"/>
      <x:c r="B49" s="90"/>
      <x:c r="C49" s="90"/>
      <x:c r="D49" s="90"/>
      <x:c r="E49" s="90"/>
      <x:c r="F49" s="90"/>
      <x:c r="G49" s="90"/>
      <x:c r="H49" s="90"/>
      <x:c r="I49" s="90"/>
      <x:c r="J49" s="90"/>
      <x:c r="K49" s="2"/>
      <x:c r="L49" s="2"/>
    </x:row>
    <x:row r="50" ht="15" hidden="0">
      <x:c r="A50" s="2"/>
      <x:c r="B50" s="2"/>
      <x:c r="C50" s="2"/>
      <x:c r="D50" s="2"/>
      <x:c r="E50" s="2"/>
      <x:c r="F50" s="2"/>
      <x:c r="G50" s="2"/>
      <x:c r="H50" s="2"/>
      <x:c r="I50" s="2"/>
      <x:c r="J50" s="2"/>
      <x:c r="K50" s="2"/>
      <x:c r="L50" s="2"/>
    </x:row>
    <x:row r="51" ht="15" hidden="0">
      <x:c r="A51" s="2"/>
      <x:c r="B51" s="2"/>
      <x:c r="C51" s="2"/>
      <x:c r="D51" s="2"/>
      <x:c r="E51" s="2"/>
      <x:c r="F51" s="2"/>
      <x:c r="G51" s="2"/>
      <x:c r="H51" s="2"/>
      <x:c r="I51" s="2"/>
      <x:c r="J51" s="2"/>
      <x:c r="K51" s="2"/>
      <x:c r="L51" s="2"/>
    </x:row>
    <x:row r="52" ht="15" hidden="0">
      <x:c r="A52" s="2"/>
      <x:c r="B52" s="2"/>
      <x:c r="C52" s="2"/>
      <x:c r="D52" s="2"/>
      <x:c r="E52" s="2"/>
      <x:c r="F52" s="2"/>
      <x:c r="G52" s="2"/>
      <x:c r="H52" s="2"/>
      <x:c r="I52" s="2"/>
      <x:c r="J52" s="2"/>
      <x:c r="K52" s="2"/>
      <x:c r="L52" s="2"/>
    </x:row>
    <x:row r="53" ht="15" hidden="0">
      <x:c r="A53" s="2"/>
      <x:c r="B53" s="2"/>
      <x:c r="C53" s="2"/>
      <x:c r="D53" s="2"/>
      <x:c r="E53" s="2"/>
      <x:c r="F53" s="2"/>
      <x:c r="G53" s="2"/>
      <x:c r="H53" s="2"/>
      <x:c r="I53" s="2"/>
      <x:c r="J53" s="2"/>
      <x:c r="K53" s="2"/>
      <x:c r="L53" s="2"/>
    </x:row>
    <x:row r="54" ht="15" hidden="0">
      <x:c r="A54" s="2"/>
      <x:c r="B54" s="2"/>
      <x:c r="C54" s="2"/>
      <x:c r="D54" s="2"/>
      <x:c r="E54" s="2"/>
      <x:c r="F54" s="2"/>
      <x:c r="G54" s="2"/>
      <x:c r="H54" s="2"/>
      <x:c r="I54" s="2"/>
      <x:c r="J54" s="2"/>
      <x:c r="K54" s="2"/>
      <x:c r="L54" s="2"/>
    </x:row>
    <x:row r="55" ht="15" hidden="0">
      <x:c r="A55" s="2"/>
      <x:c r="B55" s="2"/>
      <x:c r="C55" s="2"/>
      <x:c r="D55" s="2"/>
      <x:c r="E55" s="2"/>
      <x:c r="F55" s="2"/>
      <x:c r="G55" s="2"/>
      <x:c r="H55" s="2"/>
      <x:c r="I55" s="2"/>
      <x:c r="J55" s="2"/>
      <x:c r="K55" s="2"/>
      <x:c r="L55" s="2"/>
    </x:row>
    <x:row r="56" ht="15" hidden="0">
      <x:c r="A56" s="2"/>
      <x:c r="B56" s="2"/>
      <x:c r="C56" s="2"/>
      <x:c r="D56" s="2"/>
      <x:c r="E56" s="2"/>
      <x:c r="F56" s="2"/>
      <x:c r="G56" s="2"/>
      <x:c r="H56" s="2"/>
      <x:c r="I56" s="2"/>
      <x:c r="J56" s="2"/>
      <x:c r="K56" s="2"/>
      <x:c r="L56" s="2"/>
    </x:row>
    <x:row r="57" ht="15" hidden="0">
      <x:c r="A57" s="2"/>
      <x:c r="B57" s="2"/>
      <x:c r="C57" s="2"/>
      <x:c r="D57" s="2"/>
      <x:c r="E57" s="2"/>
      <x:c r="F57" s="2"/>
      <x:c r="G57" s="2"/>
      <x:c r="H57" s="2"/>
      <x:c r="I57" s="2"/>
      <x:c r="J57" s="2"/>
      <x:c r="K57" s="2"/>
      <x:c r="L57" s="2"/>
    </x:row>
    <x:row r="58" ht="15" hidden="0">
      <x:c r="A58" s="2"/>
      <x:c r="B58" s="2"/>
      <x:c r="C58" s="2"/>
      <x:c r="D58" s="2"/>
      <x:c r="E58" s="2"/>
      <x:c r="F58" s="2"/>
      <x:c r="G58" s="2"/>
      <x:c r="H58" s="2"/>
      <x:c r="I58" s="2"/>
      <x:c r="J58" s="2"/>
      <x:c r="K58" s="2"/>
      <x:c r="L58" s="2"/>
    </x:row>
    <x:row r="59" ht="15" hidden="0">
      <x:c r="A59" s="2"/>
      <x:c r="B59" s="2"/>
      <x:c r="C59" s="2"/>
      <x:c r="D59" s="2"/>
      <x:c r="E59" s="2"/>
      <x:c r="F59" s="2"/>
      <x:c r="G59" s="2"/>
      <x:c r="H59" s="2"/>
      <x:c r="I59" s="2"/>
      <x:c r="J59" s="2"/>
      <x:c r="K59" s="2"/>
      <x:c r="L59" s="2"/>
    </x:row>
    <x:row r="60" ht="15" hidden="0">
      <x:c r="A60" s="2"/>
      <x:c r="B60" s="2"/>
      <x:c r="C60" s="2"/>
      <x:c r="D60" s="2"/>
      <x:c r="E60" s="2"/>
      <x:c r="F60" s="2"/>
      <x:c r="G60" s="2"/>
      <x:c r="H60" s="2"/>
      <x:c r="I60" s="2"/>
      <x:c r="J60" s="2"/>
      <x:c r="K60" s="2"/>
      <x:c r="L60" s="2"/>
    </x:row>
  </x:sheetData>
  <x:mergeCells>
    <x:mergeCell ref="A1:J1"/>
    <x:mergeCell ref="B2:J3"/>
    <x:mergeCell ref="B14:J14"/>
    <x:mergeCell ref="B32:J35"/>
    <x:mergeCell ref="B38:J40"/>
  </x:mergeCells>
  <x:pageMargins left="0.7" right="0.7" top="0.75" bottom="0.75" header="0.3" footer="0.3"/>
  <x:legacyDrawing xmlns:r="http://schemas.openxmlformats.org/officeDocument/2006/relationships" r:id="Rdfa559f549b24790"/>
</x:worksheet>
</file>

<file path=xl/worksheets/sheet8.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7" width="13"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DISCOUNTED CASH FLOW</x:v>
      </x:c>
      <x:c r="B1" s="113"/>
      <x:c r="C1" s="113"/>
      <x:c r="D1" s="113"/>
      <x:c r="E1" s="113"/>
      <x:c r="F1" s="113"/>
      <x:c r="G1" s="113"/>
      <x:c r="H1" s="113"/>
      <x:c r="I1" s="113"/>
      <x:c r="J1" s="113"/>
      <x:c r="K1" s="2"/>
      <x:c r="L1" s="2"/>
    </x:row>
    <x:row r="2" ht="20" hidden="0" customHeight="1">
      <x:c r="A2" s="103"/>
      <x:c r="B2" s="117" t="str">
        <x:v>Cash after physician distributions, before funded-debt financing. NCI is paid in cash flow and is not deducted again.</x:v>
      </x:c>
      <x:c r="C2" s="117"/>
      <x:c r="D2" s="117"/>
      <x:c r="E2" s="117"/>
      <x:c r="F2" s="117"/>
      <x:c r="G2" s="117"/>
      <x:c r="H2" s="117"/>
      <x:c r="I2" s="117"/>
      <x:c r="J2" s="117"/>
      <x:c r="K2" s="2"/>
      <x:c r="L2" s="2"/>
    </x:row>
    <x:row r="3" ht="20" hidden="0" customHeight="1">
      <x:c r="A3" s="90"/>
      <x:c r="B3" s="118"/>
      <x:c r="C3" s="118"/>
      <x:c r="D3" s="118"/>
      <x:c r="E3" s="118"/>
      <x:c r="F3" s="118"/>
      <x:c r="G3" s="118"/>
      <x:c r="H3" s="118"/>
      <x:c r="I3" s="118"/>
      <x:c r="J3" s="118"/>
      <x:c r="K3" s="2"/>
      <x:c r="L3" s="2"/>
    </x:row>
    <x:row r="4" ht="20" hidden="0" customHeight="1">
      <x:c r="A4" s="88"/>
      <x:c r="B4" s="88"/>
      <x:c r="C4" s="88"/>
      <x:c r="D4" s="88"/>
      <x:c r="E4" s="88"/>
      <x:c r="F4" s="88"/>
      <x:c r="G4" s="88"/>
      <x:c r="H4" s="88"/>
      <x:c r="I4" s="88"/>
      <x:c r="J4" s="88"/>
      <x:c r="K4" s="2"/>
      <x:c r="L4" s="2"/>
    </x:row>
    <x:row r="5" ht="20" hidden="0" customHeight="1">
      <x:c r="A5" s="90"/>
      <x:c r="B5" s="90" t="str">
        <x:v>Cost of equity</x:v>
      </x:c>
      <x:c r="C5" s="213" t="n">
        <x:f aca="0">'Assumptions'!C26+'Assumptions'!C27*'Assumptions'!C28</x:f>
        <x:v>0.138</x:v>
      </x:c>
      <x:c r="D5" s="90"/>
      <x:c r="E5" s="90"/>
      <x:c r="F5" s="90"/>
      <x:c r="G5" s="90"/>
      <x:c r="H5" s="90"/>
      <x:c r="I5" s="90"/>
      <x:c r="J5" s="90"/>
      <x:c r="K5" s="2"/>
      <x:c r="L5" s="2"/>
    </x:row>
    <x:row r="6" ht="20" hidden="0" customHeight="1">
      <x:c r="A6" s="90"/>
      <x:c r="B6" s="90" t="str">
        <x:v>After-tax cost of debt</x:v>
      </x:c>
      <x:c r="C6" s="213" t="n">
        <x:f aca="0">'Assumptions'!F13*(1-'Assumptions'!F14)</x:f>
        <x:v>0.0555</x:v>
      </x:c>
      <x:c r="D6" s="90"/>
      <x:c r="E6" s="90"/>
      <x:c r="F6" s="90"/>
      <x:c r="G6" s="90"/>
      <x:c r="H6" s="90"/>
      <x:c r="I6" s="90"/>
      <x:c r="J6" s="90"/>
      <x:c r="K6" s="2"/>
      <x:c r="L6" s="2"/>
    </x:row>
    <x:row r="7" ht="20" hidden="0" customHeight="1">
      <x:c r="A7" s="90"/>
      <x:c r="B7" s="90" t="str">
        <x:v>Market equity</x:v>
      </x:c>
      <x:c r="C7" s="177" t="n">
        <x:f aca="0">'Assumptions'!C43*'Source Inputs'!C9</x:f>
        <x:v>1837.0444999999997</x:v>
      </x:c>
      <x:c r="D7" s="90"/>
      <x:c r="E7" s="90"/>
      <x:c r="F7" s="90"/>
      <x:c r="G7" s="90"/>
      <x:c r="H7" s="90"/>
      <x:c r="I7" s="90"/>
      <x:c r="J7" s="90"/>
      <x:c r="K7" s="2"/>
      <x:c r="L7" s="2"/>
    </x:row>
    <x:row r="8" ht="20" hidden="0" customHeight="1">
      <x:c r="A8" s="90"/>
      <x:c r="B8" s="88" t="str">
        <x:v>Funded debt</x:v>
      </x:c>
      <x:c r="C8" s="194" t="n">
        <x:f aca="0">'Source Inputs'!C49</x:f>
        <x:v>3782.2000000000003</x:v>
      </x:c>
      <x:c r="D8" s="90"/>
      <x:c r="E8" s="103"/>
      <x:c r="F8" s="90"/>
      <x:c r="G8" s="90"/>
      <x:c r="H8" s="90"/>
      <x:c r="I8" s="90"/>
      <x:c r="J8" s="90"/>
      <x:c r="K8" s="2"/>
      <x:c r="L8" s="2"/>
    </x:row>
    <x:row r="9" ht="20" hidden="0" customHeight="1">
      <x:c r="A9" s="90"/>
      <x:c r="B9" s="90" t="str">
        <x:v>Calculated WACC</x:v>
      </x:c>
      <x:c r="C9" s="123" t="n">
        <x:f aca="0">IF(C7+C8&gt;0,(C7*C5+C8*C6)/(C7+C8),0)</x:f>
        <x:v>0.08247091597455851</x:v>
      </x:c>
      <x:c r="D9" s="90"/>
      <x:c r="E9" s="90"/>
      <x:c r="F9" s="90"/>
      <x:c r="G9" s="90"/>
      <x:c r="H9" s="90"/>
      <x:c r="I9" s="90"/>
      <x:c r="J9" s="90"/>
      <x:c r="K9" s="2"/>
      <x:c r="L9" s="2"/>
    </x:row>
    <x:row r="10" ht="20" hidden="0" customHeight="1">
      <x:c r="A10" s="90"/>
      <x:c r="B10" s="90" t="str">
        <x:v>Selected WACC</x:v>
      </x:c>
      <x:c r="C10" s="213" t="n">
        <x:f aca="0">IF('Assumptions'!C31&gt;0,'Assumptions'!C31,C9)</x:f>
        <x:v>0.08247091597455851</x:v>
      </x:c>
      <x:c r="D10" s="90"/>
      <x:c r="E10" s="90"/>
      <x:c r="F10" s="90"/>
      <x:c r="G10" s="90"/>
      <x:c r="H10" s="90"/>
      <x:c r="I10" s="90"/>
      <x:c r="J10" s="90"/>
      <x:c r="K10" s="2"/>
      <x:c r="L10" s="2"/>
    </x:row>
    <x:row r="11" ht="20" hidden="0" customHeight="1">
      <x:c r="A11" s="90"/>
      <x:c r="B11" s="90"/>
      <x:c r="C11" s="106">
        <x:f aca="0"/>
      </x:c>
      <x:c r="D11" s="90"/>
      <x:c r="E11" s="90"/>
      <x:c r="F11" s="90"/>
      <x:c r="G11" s="90"/>
      <x:c r="H11" s="90"/>
      <x:c r="I11" s="90"/>
      <x:c r="J11" s="90"/>
      <x:c r="K11" s="2"/>
      <x:c r="L11" s="2"/>
    </x:row>
    <x:row r="12" ht="20" hidden="0" customHeight="1">
      <x:c r="A12" s="90"/>
      <x:c r="B12" s="90" t="str">
        <x:v>Period end</x:v>
      </x:c>
      <x:c r="C12" s="215" t="n">
        <x:f aca="0"/>
        <x:v>46387</x:v>
      </x:c>
      <x:c r="D12" s="155" t="n">
        <x:v>46752</x:v>
      </x:c>
      <x:c r="E12" s="155" t="n">
        <x:v>47118</x:v>
      </x:c>
      <x:c r="F12" s="155" t="n">
        <x:v>47483</x:v>
      </x:c>
      <x:c r="G12" s="155" t="n">
        <x:v>47848</x:v>
      </x:c>
      <x:c r="H12" s="90"/>
      <x:c r="I12" s="90"/>
      <x:c r="J12" s="90"/>
      <x:c r="K12" s="2"/>
      <x:c r="L12" s="2"/>
    </x:row>
    <x:row r="13" ht="20" hidden="0" customHeight="1">
      <x:c r="A13" s="90"/>
      <x:c r="B13" s="88" t="str">
        <x:v>Years to period end</x:v>
      </x:c>
      <x:c r="C13" s="216" t="n">
        <x:f aca="0">(C12-'Source Inputs'!C5)/365</x:f>
        <x:v>0.3232876712328767</x:v>
      </x:c>
      <x:c r="D13" s="219" t="n">
        <x:f>(D12-'Source Inputs'!C5)/365</x:f>
        <x:v>1.3232876712328767</x:v>
      </x:c>
      <x:c r="E13" s="219" t="n">
        <x:f>(E12-'Source Inputs'!C5)/365</x:f>
        <x:v>2.326027397260274</x:v>
      </x:c>
      <x:c r="F13" s="219" t="n">
        <x:f>(F12-'Source Inputs'!C5)/365</x:f>
        <x:v>3.326027397260274</x:v>
      </x:c>
      <x:c r="G13" s="219" t="n">
        <x:f>(G12-'Source Inputs'!C5)/365</x:f>
        <x:v>4.326027397260274</x:v>
      </x:c>
      <x:c r="H13" s="90"/>
      <x:c r="I13" s="90"/>
      <x:c r="J13" s="90"/>
      <x:c r="K13" s="2"/>
      <x:c r="L13" s="2"/>
    </x:row>
    <x:row r="14" ht="20" hidden="0" customHeight="1">
      <x:c r="A14" s="90"/>
      <x:c r="B14" s="88" t="str">
        <x:v>Cash-flow discount period</x:v>
      </x:c>
      <x:c r="C14" s="217" t="n">
        <x:f aca="0">C13/2</x:f>
        <x:v>0.16164383561643836</x:v>
      </x:c>
      <x:c r="D14" s="191" t="n">
        <x:f>(C13+D13)/2</x:f>
        <x:v>0.8232876712328767</x:v>
      </x:c>
      <x:c r="E14" s="191" t="n">
        <x:f>(D13+E13)/2</x:f>
        <x:v>1.8246575342465752</x:v>
      </x:c>
      <x:c r="F14" s="191" t="n">
        <x:f>(E13+F13)/2</x:f>
        <x:v>2.826027397260274</x:v>
      </x:c>
      <x:c r="G14" s="191" t="n">
        <x:f>(F13+G13)/2</x:f>
        <x:v>3.8260273972602743</x:v>
      </x:c>
      <x:c r="H14" s="90"/>
      <x:c r="I14" s="90"/>
      <x:c r="J14" s="90"/>
      <x:c r="K14" s="2"/>
      <x:c r="L14" s="2"/>
    </x:row>
    <x:row r="15" ht="20" hidden="0" customHeight="1">
      <x:c r="A15" s="90"/>
      <x:c r="B15" s="90" t="str">
        <x:v>Cash-flow allocation factor</x:v>
      </x:c>
      <x:c r="C15" s="218" t="n">
        <x:f>MAX(0,MIN(1,(C12-'Source Inputs'!C5)/(C12-'Source Inputs'!C6)))</x:f>
        <x:v>0.6413043478260869</x:v>
      </x:c>
      <x:c r="D15" s="220" t="n">
        <x:f>1</x:f>
        <x:v>1</x:v>
      </x:c>
      <x:c r="E15" s="220" t="n">
        <x:f>1</x:f>
        <x:v>1</x:v>
      </x:c>
      <x:c r="F15" s="220" t="n">
        <x:f>1</x:f>
        <x:v>1</x:v>
      </x:c>
      <x:c r="G15" s="220" t="n">
        <x:f>1</x:f>
        <x:v>1</x:v>
      </x:c>
      <x:c r="H15" s="90"/>
      <x:c r="I15" s="90"/>
      <x:c r="J15" s="90"/>
      <x:c r="K15" s="2"/>
      <x:c r="L15" s="2"/>
    </x:row>
    <x:row r="16" ht="20" hidden="0" customHeight="1">
      <x:c r="A16" s="88"/>
      <x:c r="B16" s="88" t="str">
        <x:v>Forecast economic unlevered cash flow</x:v>
      </x:c>
      <x:c r="C16" s="172" t="n">
        <x:f>'Operating Forecast'!C29</x:f>
        <x:v>138.19475049013812</x:v>
      </x:c>
      <x:c r="D16" s="172" t="n">
        <x:f>'Operating Forecast'!D29</x:f>
        <x:v>232.97644179782026</x:v>
      </x:c>
      <x:c r="E16" s="172" t="n">
        <x:f>'Operating Forecast'!E29</x:f>
        <x:v>240.01233034011446</x:v>
      </x:c>
      <x:c r="F16" s="172" t="n">
        <x:f>'Operating Forecast'!F29</x:f>
        <x:v>247.26070271638594</x:v>
      </x:c>
      <x:c r="G16" s="172" t="n">
        <x:f>'Operating Forecast'!G29</x:f>
        <x:v>254.72797593842085</x:v>
      </x:c>
      <x:c r="H16" s="88"/>
      <x:c r="I16" s="88"/>
      <x:c r="J16" s="88"/>
      <x:c r="K16" s="2"/>
      <x:c r="L16" s="2"/>
    </x:row>
    <x:row r="17" ht="20" hidden="0" customHeight="1">
      <x:c r="A17" s="90"/>
      <x:c r="B17" s="88" t="str">
        <x:v>Remaining cash flow at valuation date</x:v>
      </x:c>
      <x:c r="C17" s="130" t="n">
        <x:f>C16*C15</x:f>
        <x:v>88.62489433606683</x:v>
      </x:c>
      <x:c r="D17" s="130" t="n">
        <x:f>D16*D15</x:f>
        <x:v>232.97644179782026</x:v>
      </x:c>
      <x:c r="E17" s="130" t="n">
        <x:f>E16*E15</x:f>
        <x:v>240.01233034011446</x:v>
      </x:c>
      <x:c r="F17" s="130" t="n">
        <x:f>F16*F15</x:f>
        <x:v>247.26070271638594</x:v>
      </x:c>
      <x:c r="G17" s="130" t="n">
        <x:f>G16*G15</x:f>
        <x:v>254.72797593842085</x:v>
      </x:c>
      <x:c r="H17" s="90"/>
      <x:c r="I17" s="90"/>
      <x:c r="J17" s="90"/>
      <x:c r="K17" s="2"/>
      <x:c r="L17" s="2"/>
    </x:row>
    <x:row r="18" ht="20" hidden="0" customHeight="1">
      <x:c r="A18" s="90"/>
      <x:c r="B18" s="90" t="str">
        <x:v>Discount factor</x:v>
      </x:c>
      <x:c r="C18" s="205" t="n">
        <x:f>1/(1+$C$10)^C14</x:f>
        <x:v>0.987272016721849</x:v>
      </x:c>
      <x:c r="D18" s="205" t="n">
        <x:f>1/(1+$C$10)^D14</x:f>
        <x:v>0.9368402403161654</x:v>
      </x:c>
      <x:c r="E18" s="205" t="n">
        <x:f>1/(1+$C$10)^E14</x:f>
        <x:v>0.8653706365937921</x:v>
      </x:c>
      <x:c r="F18" s="205" t="n">
        <x:f>1/(1+$C$10)^F14</x:f>
        <x:v>0.7993533010772649</x:v>
      </x:c>
      <x:c r="G18" s="205" t="n">
        <x:f>1/(1+$C$10)^G14</x:f>
        <x:v>0.7384524510366173</x:v>
      </x:c>
      <x:c r="H18" s="90"/>
      <x:c r="I18" s="90"/>
      <x:c r="J18" s="90"/>
      <x:c r="K18" s="2"/>
      <x:c r="L18" s="2"/>
    </x:row>
    <x:row r="19" ht="20" hidden="0" customHeight="1">
      <x:c r="A19" s="90"/>
      <x:c r="B19" s="90" t="str">
        <x:v>Present value of cash flow</x:v>
      </x:c>
      <x:c r="C19" s="127" t="n">
        <x:f aca="0">C17*C18</x:f>
        <x:v>87.49687816292948</x:v>
      </x:c>
      <x:c r="D19" s="127" t="n">
        <x:f aca="0">D17*D18</x:f>
        <x:v>218.26170572187505</x:v>
      </x:c>
      <x:c r="E19" s="127" t="n">
        <x:f aca="0">E17*E18</x:f>
        <x:v>207.69962309678436</x:v>
      </x:c>
      <x:c r="F19" s="127" t="n">
        <x:f aca="0">F17*F18</x:f>
        <x:v>197.64865894302733</x:v>
      </x:c>
      <x:c r="G19" s="127" t="n">
        <x:f aca="0">G17*G18</x:f>
        <x:v>188.10449817932334</x:v>
      </x:c>
      <x:c r="H19" s="90"/>
      <x:c r="I19" s="90"/>
      <x:c r="J19" s="90"/>
      <x:c r="K19" s="2"/>
      <x:c r="L19" s="2"/>
    </x:row>
    <x:row r="20" ht="20" hidden="0" customHeight="1">
      <x:c r="A20" s="90"/>
      <x:c r="B20" s="90"/>
      <x:c r="C20" s="106">
        <x:f aca="0"/>
      </x:c>
      <x:c r="D20" s="106">
        <x:f aca="0"/>
      </x:c>
      <x:c r="E20" s="106">
        <x:f aca="0"/>
      </x:c>
      <x:c r="F20" s="106">
        <x:f aca="0"/>
      </x:c>
      <x:c r="G20" s="106">
        <x:f aca="0"/>
      </x:c>
      <x:c r="H20" s="90"/>
      <x:c r="I20" s="90"/>
      <x:c r="J20" s="90"/>
      <x:c r="K20" s="2"/>
      <x:c r="L20" s="2"/>
    </x:row>
    <x:row r="21" ht="20" hidden="0" customHeight="1">
      <x:c r="A21" s="90"/>
      <x:c r="B21" s="174" t="str">
        <x:v>PV of explicit-period cash flows</x:v>
      </x:c>
      <x:c r="C21" s="178" t="n">
        <x:f aca="0">SUM(C19:G19)</x:f>
        <x:v>899.2113641039396</x:v>
      </x:c>
      <x:c r="D21" s="225">
        <x:f aca="0"/>
      </x:c>
      <x:c r="E21" s="225">
        <x:f aca="0"/>
      </x:c>
      <x:c r="F21" s="225">
        <x:f aca="0"/>
      </x:c>
      <x:c r="G21" s="225">
        <x:f aca="0"/>
      </x:c>
      <x:c r="H21" s="90"/>
      <x:c r="I21" s="90"/>
      <x:c r="J21" s="90"/>
      <x:c r="K21" s="2"/>
      <x:c r="L21" s="2"/>
    </x:row>
    <x:row r="22" ht="20" hidden="0" customHeight="1">
      <x:c r="A22" s="90"/>
      <x:c r="B22" s="88"/>
      <x:c r="C22" s="97">
        <x:f aca="0"/>
      </x:c>
      <x:c r="D22" s="97">
        <x:f aca="0"/>
      </x:c>
      <x:c r="E22" s="97">
        <x:f aca="0"/>
      </x:c>
      <x:c r="F22" s="97">
        <x:f aca="0"/>
      </x:c>
      <x:c r="G22" s="97">
        <x:f aca="0"/>
      </x:c>
      <x:c r="H22" s="90"/>
      <x:c r="I22" s="90"/>
      <x:c r="J22" s="90"/>
      <x:c r="K22" s="2"/>
      <x:c r="L22" s="2"/>
    </x:row>
    <x:row r="23" ht="20" hidden="0" customHeight="1">
      <x:c r="A23" s="90"/>
      <x:c r="B23" s="90"/>
      <x:c r="C23" s="90"/>
      <x:c r="D23" s="90"/>
      <x:c r="E23" s="90"/>
      <x:c r="F23" s="90"/>
      <x:c r="G23" s="90"/>
      <x:c r="H23" s="90"/>
      <x:c r="I23" s="90"/>
      <x:c r="J23" s="90"/>
      <x:c r="K23" s="2"/>
      <x:c r="L23" s="2"/>
    </x:row>
    <x:row r="24" ht="20" hidden="0" customHeight="1">
      <x:c r="A24" s="90"/>
      <x:c r="B24" s="88" t="str">
        <x:v>Terminal growth</x:v>
      </x:c>
      <x:c r="C24" s="193" t="n">
        <x:f aca="0">'Assumptions'!C29</x:f>
        <x:v>0.025</x:v>
      </x:c>
      <x:c r="D24" s="90"/>
      <x:c r="E24" s="90"/>
      <x:c r="F24" s="90"/>
      <x:c r="G24" s="90"/>
      <x:c r="H24" s="90"/>
      <x:c r="I24" s="90"/>
      <x:c r="J24" s="90"/>
      <x:c r="K24" s="2"/>
      <x:c r="L24" s="2"/>
    </x:row>
    <x:row r="25" ht="20" hidden="0" customHeight="1">
      <x:c r="A25" s="90"/>
      <x:c r="B25" s="90" t="str">
        <x:v>Terminal revenue</x:v>
      </x:c>
      <x:c r="C25" s="157" t="n">
        <x:f>'Operating Forecast'!G7*(1+C24)</x:f>
        <x:v>3925.4456131776305</x:v>
      </x:c>
      <x:c r="D25" s="90"/>
      <x:c r="E25" s="90"/>
      <x:c r="F25" s="90"/>
      <x:c r="G25" s="90"/>
      <x:c r="H25" s="90"/>
      <x:c r="I25" s="90"/>
      <x:c r="J25" s="90"/>
      <x:c r="K25" s="2"/>
      <x:c r="L25" s="2"/>
    </x:row>
    <x:row r="26" ht="20" hidden="0" customHeight="1">
      <x:c r="A26" s="90"/>
      <x:c r="B26" s="88" t="str">
        <x:v>Company Adjusted EBITDA</x:v>
      </x:c>
      <x:c r="C26" s="157" t="n">
        <x:f>C25*'Assumptions'!F11</x:f>
        <x:v>611.9076985247483</x:v>
      </x:c>
      <x:c r="D26" s="90"/>
      <x:c r="E26" s="90"/>
      <x:c r="F26" s="90"/>
      <x:c r="G26" s="90"/>
      <x:c r="H26" s="90"/>
      <x:c r="I26" s="90"/>
      <x:c r="J26" s="90"/>
      <x:c r="K26" s="2"/>
      <x:c r="L26" s="2"/>
    </x:row>
    <x:row r="27" ht="20" hidden="0" customHeight="1">
      <x:c r="A27" s="90"/>
      <x:c r="B27" s="90" t="str">
        <x:v>SBC and recurring excluded costs</x:v>
      </x:c>
      <x:c r="C27" s="177" t="n">
        <x:f aca="0">-C25*('Assumptions'!F16+'Assumptions'!F19)</x:f>
        <x:v>-101.27649681998287</x:v>
      </x:c>
      <x:c r="D27" s="90"/>
      <x:c r="E27" s="90"/>
      <x:c r="F27" s="90"/>
      <x:c r="G27" s="90"/>
      <x:c r="H27" s="90"/>
      <x:c r="I27" s="90"/>
      <x:c r="J27" s="90"/>
      <x:c r="K27" s="2"/>
      <x:c r="L27" s="2"/>
    </x:row>
    <x:row r="28" ht="20" hidden="0" customHeight="1">
      <x:c r="A28" s="90"/>
      <x:c r="B28" s="90" t="str">
        <x:v>D&amp;A</x:v>
      </x:c>
      <x:c r="C28" s="194" t="n">
        <x:f aca="0">-C25*'Assumptions'!F12</x:f>
        <x:v>-184.49594381934864</x:v>
      </x:c>
      <x:c r="D28" s="90"/>
      <x:c r="E28" s="90"/>
      <x:c r="F28" s="90"/>
      <x:c r="G28" s="90"/>
      <x:c r="H28" s="90"/>
      <x:c r="I28" s="90"/>
      <x:c r="J28" s="90"/>
      <x:c r="K28" s="2"/>
      <x:c r="L28" s="2"/>
    </x:row>
    <x:row r="29" ht="20" hidden="0" customHeight="1">
      <x:c r="A29" s="90"/>
      <x:c r="B29" s="90" t="str">
        <x:v>Parent economic EBIT</x:v>
      </x:c>
      <x:c r="C29" s="127" t="n">
        <x:f aca="0">SUM(C26:C28)</x:f>
        <x:v>326.13525788541676</x:v>
      </x:c>
      <x:c r="D29" s="90"/>
      <x:c r="E29" s="90"/>
      <x:c r="F29" s="90"/>
      <x:c r="G29" s="90"/>
      <x:c r="H29" s="90"/>
      <x:c r="I29" s="90"/>
      <x:c r="J29" s="90"/>
      <x:c r="K29" s="2"/>
      <x:c r="L29" s="2"/>
    </x:row>
    <x:row r="30" ht="20" hidden="0" customHeight="1">
      <x:c r="A30" s="90"/>
      <x:c r="B30" s="90" t="str">
        <x:v>Unlevered cash taxes</x:v>
      </x:c>
      <x:c r="C30" s="177" t="n">
        <x:f aca="0">-MAX(0,C29)*'Assumptions'!F14</x:f>
        <x:v>-84.79516705020836</x:v>
      </x:c>
      <x:c r="D30" s="90"/>
      <x:c r="E30" s="90"/>
      <x:c r="F30" s="90"/>
      <x:c r="G30" s="90"/>
      <x:c r="H30" s="90"/>
      <x:c r="I30" s="90"/>
      <x:c r="J30" s="90"/>
      <x:c r="K30" s="2"/>
      <x:c r="L30" s="2"/>
    </x:row>
    <x:row r="31" ht="20" hidden="0" customHeight="1">
      <x:c r="A31" s="90"/>
      <x:c r="B31" s="88" t="str">
        <x:v>NCI earnings / distributions difference</x:v>
      </x:c>
      <x:c r="C31" s="194" t="n">
        <x:f aca="0">('Operating Forecast'!G44-'Operating Forecast'!G45)*(1+C24)</x:f>
        <x:v>-51.17094882468227</x:v>
      </x:c>
      <x:c r="D31" s="90"/>
      <x:c r="E31" s="90"/>
      <x:c r="F31" s="90"/>
      <x:c r="G31" s="90"/>
      <x:c r="H31" s="90"/>
      <x:c r="I31" s="90"/>
      <x:c r="J31" s="90"/>
      <x:c r="K31" s="2"/>
      <x:c r="L31" s="2"/>
    </x:row>
    <x:row r="32" ht="20" hidden="0" customHeight="1">
      <x:c r="A32" s="90"/>
      <x:c r="B32" s="90" t="str">
        <x:v>Terminal capex</x:v>
      </x:c>
      <x:c r="C32" s="177" t="n">
        <x:f aca="0">-MAX(C25*'Assumptions'!F15,-C28)-(C25-'Operating Forecast'!G7)*'Assumptions'!C37</x:f>
        <x:v>-203.6444590055809</x:v>
      </x:c>
      <x:c r="D32" s="90"/>
      <x:c r="E32" s="103"/>
      <x:c r="F32" s="90"/>
      <x:c r="G32" s="90"/>
      <x:c r="H32" s="90"/>
      <x:c r="I32" s="90"/>
      <x:c r="J32" s="90"/>
      <x:c r="K32" s="2"/>
      <x:c r="L32" s="2"/>
    </x:row>
    <x:row r="33" ht="20" hidden="0" customHeight="1">
      <x:c r="A33" s="90"/>
      <x:c r="B33" s="90" t="str">
        <x:v>Terminal working capital investment</x:v>
      </x:c>
      <x:c r="C33" s="177" t="n">
        <x:f aca="0">-(C25-'Operating Forecast'!G7)*'Assumptions'!C24</x:f>
        <x:v>-9.574257593116135</x:v>
      </x:c>
      <x:c r="D33" s="90"/>
      <x:c r="E33" s="90"/>
      <x:c r="F33" s="90"/>
      <x:c r="G33" s="90"/>
      <x:c r="H33" s="90"/>
      <x:c r="I33" s="90"/>
      <x:c r="J33" s="90"/>
      <x:c r="K33" s="2"/>
      <x:c r="L33" s="2"/>
    </x:row>
    <x:row r="34" ht="20" hidden="0" customHeight="1">
      <x:c r="A34" s="90"/>
      <x:c r="B34" s="174" t="str">
        <x:v>Terminal unlevered cash flow</x:v>
      </x:c>
      <x:c r="C34" s="175" t="n">
        <x:f>C29+C30-C28+SUM(C31:C33)</x:f>
        <x:v>161.4463692311777</x:v>
      </x:c>
      <x:c r="D34" s="174"/>
      <x:c r="E34" s="174"/>
      <x:c r="F34" s="174"/>
      <x:c r="G34" s="174"/>
      <x:c r="H34" s="90"/>
      <x:c r="I34" s="90"/>
      <x:c r="J34" s="90"/>
      <x:c r="K34" s="2"/>
      <x:c r="L34" s="2"/>
    </x:row>
    <x:row r="35" ht="20" hidden="0" customHeight="1">
      <x:c r="A35" s="90"/>
      <x:c r="B35" s="88"/>
      <x:c r="C35" s="90"/>
      <x:c r="D35" s="90"/>
      <x:c r="E35" s="90"/>
      <x:c r="F35" s="90"/>
      <x:c r="G35" s="90"/>
      <x:c r="H35" s="90"/>
      <x:c r="I35" s="90"/>
      <x:c r="J35" s="90"/>
      <x:c r="K35" s="2"/>
      <x:c r="L35" s="2"/>
    </x:row>
    <x:row r="36" ht="20" hidden="0" customHeight="1">
      <x:c r="A36" s="90"/>
      <x:c r="B36" s="90" t="str">
        <x:v>Perpetuity terminal value</x:v>
      </x:c>
      <x:c r="C36" s="127" t="n">
        <x:f aca="0">IF(C10&gt;C24,C34/(C10-C24),0)</x:f>
        <x:v>2809.1838540149165</x:v>
      </x:c>
      <x:c r="D36" s="90"/>
      <x:c r="E36" s="90"/>
      <x:c r="F36" s="90"/>
      <x:c r="G36" s="90"/>
      <x:c r="H36" s="90"/>
      <x:c r="I36" s="90"/>
      <x:c r="J36" s="90"/>
      <x:c r="K36" s="2"/>
      <x:c r="L36" s="2"/>
    </x:row>
    <x:row r="37" ht="20" hidden="0" customHeight="1">
      <x:c r="A37" s="90"/>
      <x:c r="B37" s="90" t="str">
        <x:v>PV of perpetuity terminal value</x:v>
      </x:c>
      <x:c r="C37" s="127" t="n">
        <x:f aca="0">C36/(1+C10)^G13</x:f>
        <x:v>1993.8596367520374</x:v>
      </x:c>
      <x:c r="D37" s="90"/>
      <x:c r="E37" s="90"/>
      <x:c r="F37" s="90"/>
      <x:c r="G37" s="90"/>
      <x:c r="H37" s="90"/>
      <x:c r="I37" s="90"/>
      <x:c r="J37" s="90"/>
      <x:c r="K37" s="2"/>
      <x:c r="L37" s="2"/>
    </x:row>
    <x:row r="38" ht="20" hidden="0" customHeight="1">
      <x:c r="A38" s="90"/>
      <x:c r="B38" s="174" t="str">
        <x:v>Parent enterprise value: perpetuity</x:v>
      </x:c>
      <x:c r="C38" s="178" t="n">
        <x:f aca="0">C21+C37</x:f>
        <x:v>2893.071000855977</x:v>
      </x:c>
      <x:c r="D38" s="174"/>
      <x:c r="E38" s="174"/>
      <x:c r="F38" s="174"/>
      <x:c r="G38" s="174"/>
      <x:c r="H38" s="90"/>
      <x:c r="I38" s="90"/>
      <x:c r="J38" s="90"/>
      <x:c r="K38" s="2"/>
      <x:c r="L38" s="2"/>
    </x:row>
    <x:row r="39" ht="20" hidden="0" customHeight="1">
      <x:c r="A39" s="90"/>
      <x:c r="B39" s="88"/>
      <x:c r="C39" s="97">
        <x:f aca="0"/>
      </x:c>
      <x:c r="D39" s="90"/>
      <x:c r="E39" s="90"/>
      <x:c r="F39" s="90"/>
      <x:c r="G39" s="90"/>
      <x:c r="H39" s="90"/>
      <x:c r="I39" s="90"/>
      <x:c r="J39" s="90"/>
      <x:c r="K39" s="2"/>
      <x:c r="L39" s="2"/>
    </x:row>
    <x:row r="40" ht="20" hidden="0" customHeight="1">
      <x:c r="A40" s="90"/>
      <x:c r="B40" s="90" t="str">
        <x:v>Terminal parent economic exit EBITDA</x:v>
      </x:c>
      <x:c r="C40" s="177" t="n">
        <x:f aca="0">'Operating Forecast'!G12+'Operating Forecast'!G13+'Operating Forecast'!G14+'Operating Forecast'!G25+'Operating Forecast'!G26</x:f>
        <x:v>448.25390524886166</x:v>
      </x:c>
      <x:c r="D40" s="90"/>
      <x:c r="E40" s="90"/>
      <x:c r="F40" s="90"/>
      <x:c r="G40" s="90"/>
      <x:c r="H40" s="90"/>
      <x:c r="I40" s="90"/>
      <x:c r="J40" s="90"/>
      <x:c r="K40" s="2"/>
      <x:c r="L40" s="2"/>
    </x:row>
    <x:row r="41" ht="20" hidden="0" customHeight="1">
      <x:c r="A41" s="90"/>
      <x:c r="B41" s="90" t="str">
        <x:v>Exit multiple assumption</x:v>
      </x:c>
      <x:c r="C41" s="221" t="n">
        <x:f>'Assumptions'!C30</x:f>
        <x:v>9</x:v>
      </x:c>
      <x:c r="D41" s="90"/>
      <x:c r="E41" s="90"/>
      <x:c r="F41" s="90"/>
      <x:c r="G41" s="90"/>
      <x:c r="H41" s="90"/>
      <x:c r="I41" s="90"/>
      <x:c r="J41" s="90"/>
      <x:c r="K41" s="2"/>
      <x:c r="L41" s="2"/>
    </x:row>
    <x:row r="42" ht="20" hidden="0" customHeight="1">
      <x:c r="A42" s="88"/>
      <x:c r="B42" s="88" t="str">
        <x:v>Exit terminal value</x:v>
      </x:c>
      <x:c r="C42" s="173" t="n">
        <x:f>C40*C41</x:f>
        <x:v>4034.285147239755</x:v>
      </x:c>
      <x:c r="D42" s="88"/>
      <x:c r="E42" s="88"/>
      <x:c r="F42" s="88"/>
      <x:c r="G42" s="88"/>
      <x:c r="H42" s="88"/>
      <x:c r="I42" s="88"/>
      <x:c r="J42" s="88"/>
      <x:c r="K42" s="2"/>
      <x:c r="L42" s="2"/>
    </x:row>
    <x:row r="43" ht="20" hidden="0" customHeight="1">
      <x:c r="A43" s="90"/>
      <x:c r="B43" s="90" t="str">
        <x:v>PV of exit terminal value</x:v>
      </x:c>
      <x:c r="C43" s="130" t="n">
        <x:f>C42/(1+C10)^G13</x:f>
        <x:v>2863.3933328120593</x:v>
      </x:c>
      <x:c r="D43" s="92"/>
      <x:c r="E43" s="90"/>
      <x:c r="F43" s="90"/>
      <x:c r="G43" s="90"/>
      <x:c r="H43" s="90"/>
      <x:c r="I43" s="90"/>
      <x:c r="J43" s="90"/>
      <x:c r="K43" s="2"/>
      <x:c r="L43" s="2"/>
    </x:row>
    <x:row r="44" ht="20" hidden="0" customHeight="1">
      <x:c r="A44" s="90"/>
      <x:c r="B44" s="174" t="str">
        <x:v>Parent enterprise value: exit multiple</x:v>
      </x:c>
      <x:c r="C44" s="178" t="n">
        <x:f aca="0">C21+C43</x:f>
        <x:v>3762.604696915999</x:v>
      </x:c>
      <x:c r="D44" s="226">
        <x:f aca="0"/>
      </x:c>
      <x:c r="E44" s="174"/>
      <x:c r="F44" s="174"/>
      <x:c r="G44" s="174"/>
      <x:c r="H44" s="90"/>
      <x:c r="I44" s="90"/>
      <x:c r="J44" s="90"/>
      <x:c r="K44" s="2"/>
      <x:c r="L44" s="2"/>
    </x:row>
    <x:row r="45" ht="20" hidden="0" customHeight="1">
      <x:c r="A45" s="90"/>
      <x:c r="B45" s="90"/>
      <x:c r="C45" s="106">
        <x:f aca="0"/>
      </x:c>
      <x:c r="D45" s="106">
        <x:f aca="0"/>
      </x:c>
      <x:c r="E45" s="90"/>
      <x:c r="F45" s="90"/>
      <x:c r="G45" s="90"/>
      <x:c r="H45" s="90"/>
      <x:c r="I45" s="90"/>
      <x:c r="J45" s="90"/>
      <x:c r="K45" s="2"/>
      <x:c r="L45" s="2"/>
    </x:row>
    <x:row r="46" ht="20" hidden="0" customHeight="1">
      <x:c r="A46" s="90"/>
      <x:c r="B46" s="90"/>
      <x:c r="C46" s="106" t="str">
        <x:f aca="0"/>
        <x:v>Perpetuity</x:v>
      </x:c>
      <x:c r="D46" s="106" t="str">
        <x:f aca="0"/>
        <x:v>Exit multiple</x:v>
      </x:c>
      <x:c r="E46" s="90"/>
      <x:c r="F46" s="90"/>
      <x:c r="G46" s="90"/>
      <x:c r="H46" s="90"/>
      <x:c r="I46" s="90"/>
      <x:c r="J46" s="90"/>
      <x:c r="K46" s="2"/>
      <x:c r="L46" s="2"/>
    </x:row>
    <x:row r="47" ht="20" hidden="0" customHeight="1">
      <x:c r="A47" s="90"/>
      <x:c r="B47" s="88" t="str">
        <x:v>Parent enterprise value</x:v>
      </x:c>
      <x:c r="C47" s="130" t="n">
        <x:f aca="0">C38</x:f>
        <x:v>2893.071000855977</x:v>
      </x:c>
      <x:c r="D47" s="130" t="n">
        <x:f aca="0">C44</x:f>
        <x:v>3762.604696915999</x:v>
      </x:c>
      <x:c r="E47" s="90"/>
      <x:c r="F47" s="90"/>
      <x:c r="G47" s="90"/>
      <x:c r="H47" s="90"/>
      <x:c r="I47" s="90"/>
      <x:c r="J47" s="90"/>
      <x:c r="K47" s="2"/>
      <x:c r="L47" s="2"/>
    </x:row>
    <x:row r="48" ht="20" hidden="0" customHeight="1">
      <x:c r="A48" s="90"/>
      <x:c r="B48" s="90" t="str">
        <x:v>Less funded debt / plus excess cash</x:v>
      </x:c>
      <x:c r="C48" s="177" t="n">
        <x:f aca="0">-'Source Inputs'!C53</x:f>
        <x:v>-3665.5000000000005</x:v>
      </x:c>
      <x:c r="D48" s="177" t="n">
        <x:f aca="0">-'Source Inputs'!C53</x:f>
        <x:v>-3665.5000000000005</x:v>
      </x:c>
      <x:c r="E48" s="90"/>
      <x:c r="F48" s="90"/>
      <x:c r="G48" s="90"/>
      <x:c r="H48" s="90"/>
      <x:c r="I48" s="90"/>
      <x:c r="J48" s="90"/>
      <x:c r="K48" s="2"/>
      <x:c r="L48" s="2"/>
    </x:row>
    <x:row r="49" ht="20" hidden="0" customHeight="1">
      <x:c r="A49" s="90"/>
      <x:c r="B49" s="174" t="str">
        <x:v>Parent equity value</x:v>
      </x:c>
      <x:c r="C49" s="178" t="n">
        <x:f aca="0">C47+C48</x:f>
        <x:v>-772.4289991440232</x:v>
      </x:c>
      <x:c r="D49" s="178" t="n">
        <x:f aca="0">D47+D48</x:f>
        <x:v>97.10469691599837</x:v>
      </x:c>
      <x:c r="E49" s="174"/>
      <x:c r="F49" s="174"/>
      <x:c r="G49" s="174"/>
      <x:c r="H49" s="90"/>
      <x:c r="I49" s="90"/>
      <x:c r="J49" s="90"/>
      <x:c r="K49" s="2"/>
      <x:c r="L49" s="2"/>
    </x:row>
    <x:row r="50" ht="20" hidden="0" customHeight="1">
      <x:c r="A50" s="90"/>
      <x:c r="B50" s="174" t="str">
        <x:v>Value per diluted share</x:v>
      </x:c>
      <x:c r="C50" s="227" t="n">
        <x:f aca="0">IF('Source Inputs'!C50&gt;0,MAX(0,C49)/'Source Inputs'!C50,0)</x:f>
        <x:v>0</x:v>
      </x:c>
      <x:c r="D50" s="227" t="n">
        <x:f aca="0">IF('Source Inputs'!C50&gt;0,MAX(0,D49)/'Source Inputs'!C50,0)</x:f>
        <x:v>0.7514505692949272</x:v>
      </x:c>
      <x:c r="E50" s="174"/>
      <x:c r="F50" s="174"/>
      <x:c r="G50" s="174"/>
      <x:c r="H50" s="90"/>
      <x:c r="I50" s="90"/>
      <x:c r="J50" s="90"/>
      <x:c r="K50" s="2"/>
      <x:c r="L50" s="2"/>
    </x:row>
    <x:row r="51" ht="20" hidden="0" customHeight="1">
      <x:c r="A51" s="90"/>
      <x:c r="B51" s="88" t="str">
        <x:v>Market price assumption</x:v>
      </x:c>
      <x:c r="C51" s="223" t="n">
        <x:f aca="0">'Assumptions'!C43</x:f>
        <x:v>14.26</x:v>
      </x:c>
      <x:c r="D51" s="223" t="n">
        <x:f aca="0">'Assumptions'!C43</x:f>
        <x:v>14.26</x:v>
      </x:c>
      <x:c r="E51" s="90"/>
      <x:c r="F51" s="90"/>
      <x:c r="G51" s="90"/>
      <x:c r="H51" s="90"/>
      <x:c r="I51" s="90"/>
      <x:c r="J51" s="90"/>
      <x:c r="K51" s="2"/>
      <x:c r="L51" s="2"/>
    </x:row>
    <x:row r="52" ht="20" hidden="0" customHeight="1">
      <x:c r="A52" s="90"/>
      <x:c r="B52" s="103" t="str">
        <x:v>Implied return to price</x:v>
      </x:c>
      <x:c r="C52" s="131" t="n">
        <x:f>IF(C51&gt;0,C50/C51-1,0)</x:f>
        <x:v>-1</x:v>
      </x:c>
      <x:c r="D52" s="131" t="n">
        <x:f>IF(D51&gt;0,D50/D51-1,0)</x:f>
        <x:v>-0.9473036066413094</x:v>
      </x:c>
      <x:c r="E52" s="90"/>
      <x:c r="F52" s="90"/>
      <x:c r="G52" s="90"/>
      <x:c r="H52" s="90"/>
      <x:c r="I52" s="90"/>
      <x:c r="J52" s="90"/>
      <x:c r="K52" s="2"/>
      <x:c r="L52" s="2"/>
    </x:row>
    <x:row r="53" ht="20" hidden="0" customHeight="1">
      <x:c r="A53" s="90"/>
      <x:c r="B53" s="90"/>
      <x:c r="C53" s="90"/>
      <x:c r="D53" s="90"/>
      <x:c r="E53" s="90"/>
      <x:c r="F53" s="90"/>
      <x:c r="G53" s="90"/>
      <x:c r="H53" s="90"/>
      <x:c r="I53" s="90"/>
      <x:c r="J53" s="90"/>
      <x:c r="K53" s="2"/>
      <x:c r="L53" s="2"/>
    </x:row>
    <x:row r="54" ht="20" hidden="0" customHeight="1">
      <x:c r="A54" s="90"/>
      <x:c r="B54" s="90" t="str">
        <x:v>Terminal value / enterprise value</x:v>
      </x:c>
      <x:c r="C54" s="131" t="n">
        <x:f>IF(C38&lt;&gt;0,C37/C38,0)</x:f>
        <x:v>0.6891844811835283</x:v>
      </x:c>
      <x:c r="D54" s="90"/>
      <x:c r="E54" s="90"/>
      <x:c r="F54" s="90"/>
      <x:c r="G54" s="90"/>
      <x:c r="H54" s="90"/>
      <x:c r="I54" s="90"/>
      <x:c r="J54" s="90"/>
      <x:c r="K54" s="2"/>
      <x:c r="L54" s="2"/>
    </x:row>
    <x:row r="55" ht="20" hidden="0" customHeight="1">
      <x:c r="A55" s="90"/>
      <x:c r="B55" s="90"/>
      <x:c r="C55" s="90"/>
      <x:c r="D55" s="90"/>
      <x:c r="E55" s="90"/>
      <x:c r="F55" s="90"/>
      <x:c r="G55" s="90"/>
      <x:c r="H55" s="90"/>
      <x:c r="I55" s="90"/>
      <x:c r="J55" s="90"/>
      <x:c r="K55" s="2"/>
      <x:c r="L55" s="2"/>
    </x:row>
    <x:row r="56" ht="20" hidden="0" customHeight="1">
      <x:c r="A56" s="90"/>
      <x:c r="B56" s="90"/>
      <x:c r="C56" s="90"/>
      <x:c r="D56" s="90"/>
      <x:c r="E56" s="90"/>
      <x:c r="F56" s="90"/>
      <x:c r="G56" s="90"/>
      <x:c r="H56" s="90"/>
      <x:c r="I56" s="90"/>
      <x:c r="J56" s="90"/>
      <x:c r="K56" s="2"/>
      <x:c r="L56" s="2"/>
    </x:row>
    <x:row r="57" ht="20" hidden="0" customHeight="1">
      <x:c r="A57" s="90"/>
      <x:c r="B57" s="118" t="str">
        <x:v>H2 cash flows are allocated evenly between June 30 and December 31; only the portion after September 4 is valued. This is a timing assumption. Terminal cash flow rebuilds reinvestment at the terminal growth rate rather than perpetuating a near-term capex shortfall.</x:v>
      </x:c>
      <x:c r="C57" s="118"/>
      <x:c r="D57" s="118"/>
      <x:c r="E57" s="118"/>
      <x:c r="F57" s="118"/>
      <x:c r="G57" s="118"/>
      <x:c r="H57" s="118"/>
      <x:c r="I57" s="118"/>
      <x:c r="J57" s="118"/>
      <x:c r="K57" s="2"/>
      <x:c r="L57" s="2"/>
    </x:row>
    <x:row r="58" ht="20" hidden="0" customHeight="1">
      <x:c r="A58" s="90"/>
      <x:c r="B58" s="118"/>
      <x:c r="C58" s="118"/>
      <x:c r="D58" s="118"/>
      <x:c r="E58" s="118"/>
      <x:c r="F58" s="118"/>
      <x:c r="G58" s="118"/>
      <x:c r="H58" s="118"/>
      <x:c r="I58" s="118"/>
      <x:c r="J58" s="118"/>
      <x:c r="K58" s="2"/>
      <x:c r="L58" s="2"/>
    </x:row>
    <x:row r="59" ht="20" hidden="0" customHeight="1">
      <x:c r="A59" s="90"/>
      <x:c r="B59" s="118"/>
      <x:c r="C59" s="118"/>
      <x:c r="D59" s="118"/>
      <x:c r="E59" s="118"/>
      <x:c r="F59" s="118"/>
      <x:c r="G59" s="118"/>
      <x:c r="H59" s="118"/>
      <x:c r="I59" s="118"/>
      <x:c r="J59" s="118"/>
      <x:c r="K59" s="2"/>
      <x:c r="L59" s="2"/>
    </x:row>
    <x:row r="60" ht="20" hidden="0" customHeight="1">
      <x:c r="A60" s="90"/>
      <x:c r="B60" s="118"/>
      <x:c r="C60" s="118"/>
      <x:c r="D60" s="118"/>
      <x:c r="E60" s="118"/>
      <x:c r="F60" s="118"/>
      <x:c r="G60" s="118"/>
      <x:c r="H60" s="118"/>
      <x:c r="I60" s="118"/>
      <x:c r="J60" s="118"/>
      <x:c r="K60" s="2"/>
      <x:c r="L60" s="2"/>
    </x:row>
    <x:row r="61" ht="20" hidden="0" customHeight="1">
      <x:c r="A61" s="90"/>
      <x:c r="B61" s="90"/>
      <x:c r="C61" s="90"/>
      <x:c r="D61" s="90"/>
      <x:c r="E61" s="90"/>
      <x:c r="F61" s="90"/>
      <x:c r="G61" s="90"/>
      <x:c r="H61" s="90"/>
      <x:c r="I61" s="90"/>
      <x:c r="J61" s="90"/>
      <x:c r="K61" s="2"/>
      <x:c r="L61" s="2"/>
    </x:row>
    <x:row r="62" ht="20" hidden="0" customHeight="1">
      <x:c r="A62" s="90"/>
      <x:c r="B62" s="118" t="str">
        <x:v>Exit EBITDA is after SBC, recurring excluded costs and the NCI cash-versus-earnings difference. Its multiple is a parent economic assumption, distinct from consolidated healthcare peer multiples. A negative raw equity bridge is shown before the common-equity per-share floor of zero.</x:v>
      </x:c>
      <x:c r="C62" s="118"/>
      <x:c r="D62" s="118"/>
      <x:c r="E62" s="118"/>
      <x:c r="F62" s="118"/>
      <x:c r="G62" s="118"/>
      <x:c r="H62" s="118"/>
      <x:c r="I62" s="118"/>
      <x:c r="J62" s="118"/>
      <x:c r="K62" s="2"/>
      <x:c r="L62" s="2"/>
    </x:row>
    <x:row r="63" ht="20" hidden="0" customHeight="1">
      <x:c r="A63" s="90"/>
      <x:c r="B63" s="118"/>
      <x:c r="C63" s="118"/>
      <x:c r="D63" s="118"/>
      <x:c r="E63" s="118"/>
      <x:c r="F63" s="118"/>
      <x:c r="G63" s="118"/>
      <x:c r="H63" s="118"/>
      <x:c r="I63" s="118"/>
      <x:c r="J63" s="118"/>
      <x:c r="K63" s="2"/>
      <x:c r="L63" s="2"/>
    </x:row>
    <x:row r="64" ht="20" hidden="0" customHeight="1">
      <x:c r="A64" s="90"/>
      <x:c r="B64" s="118"/>
      <x:c r="C64" s="118"/>
      <x:c r="D64" s="118"/>
      <x:c r="E64" s="118"/>
      <x:c r="F64" s="118"/>
      <x:c r="G64" s="118"/>
      <x:c r="H64" s="118"/>
      <x:c r="I64" s="118"/>
      <x:c r="J64" s="118"/>
      <x:c r="K64" s="2"/>
      <x:c r="L64" s="2"/>
    </x:row>
    <x:row r="65" ht="20" hidden="0" customHeight="1">
      <x:c r="A65" s="90"/>
      <x:c r="B65" s="118"/>
      <x:c r="C65" s="118"/>
      <x:c r="D65" s="118"/>
      <x:c r="E65" s="118"/>
      <x:c r="F65" s="118"/>
      <x:c r="G65" s="118"/>
      <x:c r="H65" s="118"/>
      <x:c r="I65" s="118"/>
      <x:c r="J65" s="118"/>
      <x:c r="K65" s="2"/>
      <x:c r="L65" s="2"/>
    </x:row>
    <x:row r="66" ht="20" hidden="0" customHeight="1">
      <x:c r="A66" s="90"/>
      <x:c r="B66" s="90"/>
      <x:c r="C66" s="90"/>
      <x:c r="D66" s="90"/>
      <x:c r="E66" s="90"/>
      <x:c r="F66" s="90"/>
      <x:c r="G66" s="90"/>
      <x:c r="H66" s="90"/>
      <x:c r="I66" s="90"/>
      <x:c r="J66" s="90"/>
      <x:c r="K66" s="2"/>
      <x:c r="L66" s="2"/>
    </x:row>
    <x:row r="67" ht="20" hidden="0" customHeight="1">
      <x:c r="A67" s="90"/>
      <x:c r="B67" s="90"/>
      <x:c r="C67" s="90"/>
      <x:c r="D67" s="90"/>
      <x:c r="E67" s="90"/>
      <x:c r="F67" s="90"/>
      <x:c r="G67" s="90"/>
      <x:c r="H67" s="90"/>
      <x:c r="I67" s="90"/>
      <x:c r="J67" s="90"/>
      <x:c r="K67" s="2"/>
      <x:c r="L67" s="2"/>
    </x:row>
    <x:row r="68" ht="20" hidden="0" customHeight="1">
      <x:c r="A68" s="90"/>
      <x:c r="B68" s="90"/>
      <x:c r="C68" s="90"/>
      <x:c r="D68" s="90"/>
      <x:c r="E68" s="90"/>
      <x:c r="F68" s="90"/>
      <x:c r="G68" s="90"/>
      <x:c r="H68" s="90"/>
      <x:c r="I68" s="90"/>
      <x:c r="J68" s="90"/>
      <x:c r="K68" s="2"/>
      <x:c r="L68" s="2"/>
    </x:row>
    <x:row r="69" ht="20" hidden="0" customHeight="1">
      <x:c r="A69" s="90"/>
      <x:c r="B69" s="90"/>
      <x:c r="C69" s="90"/>
      <x:c r="D69" s="90"/>
      <x:c r="E69" s="90"/>
      <x:c r="F69" s="90"/>
      <x:c r="G69" s="90"/>
      <x:c r="H69" s="90"/>
      <x:c r="I69" s="90"/>
      <x:c r="J69" s="90"/>
      <x:c r="K69" s="2"/>
      <x:c r="L69" s="2"/>
    </x:row>
    <x:row r="70" ht="20" hidden="0" customHeight="1">
      <x:c r="A70" s="90"/>
      <x:c r="B70" s="90"/>
      <x:c r="C70" s="90"/>
      <x:c r="D70" s="90"/>
      <x:c r="E70" s="90"/>
      <x:c r="F70" s="90"/>
      <x:c r="G70" s="90"/>
      <x:c r="H70" s="90"/>
      <x:c r="I70" s="90"/>
      <x:c r="J70" s="90"/>
      <x:c r="K70" s="2"/>
      <x:c r="L70" s="2"/>
    </x:row>
    <x:row r="71" ht="20" hidden="0" customHeight="1">
      <x:c r="A71" s="90"/>
      <x:c r="B71" s="90"/>
      <x:c r="C71" s="90"/>
      <x:c r="D71" s="90"/>
      <x:c r="E71" s="90"/>
      <x:c r="F71" s="90"/>
      <x:c r="G71" s="90"/>
      <x:c r="H71" s="90"/>
      <x:c r="I71" s="90"/>
      <x:c r="J71" s="90"/>
      <x:c r="K71" s="2"/>
      <x:c r="L71" s="2"/>
    </x:row>
    <x:row r="72" ht="20" hidden="0" customHeight="1">
      <x:c r="A72" s="90"/>
      <x:c r="B72" s="90"/>
      <x:c r="C72" s="90"/>
      <x:c r="D72" s="90"/>
      <x:c r="E72" s="90"/>
      <x:c r="F72" s="90"/>
      <x:c r="G72" s="90"/>
      <x:c r="H72" s="90"/>
      <x:c r="I72" s="90"/>
      <x:c r="J72" s="90"/>
      <x:c r="K72" s="2"/>
      <x:c r="L72" s="2"/>
    </x:row>
    <x:row r="73" ht="15" hidden="0">
      <x:c r="A73" s="2"/>
      <x:c r="B73" s="2"/>
      <x:c r="C73" s="2"/>
      <x:c r="D73" s="2"/>
      <x:c r="E73" s="2"/>
      <x:c r="F73" s="2"/>
      <x:c r="G73" s="2"/>
      <x:c r="H73" s="2"/>
      <x:c r="I73" s="2"/>
      <x:c r="J73" s="2"/>
      <x:c r="K73" s="2"/>
      <x:c r="L73" s="2"/>
    </x:row>
    <x:row r="74" ht="15" hidden="0">
      <x:c r="A74" s="2"/>
      <x:c r="B74" s="2"/>
      <x:c r="C74" s="2"/>
      <x:c r="D74" s="2"/>
      <x:c r="E74" s="2"/>
      <x:c r="F74" s="2"/>
      <x:c r="G74" s="2"/>
      <x:c r="H74" s="2"/>
      <x:c r="I74" s="2"/>
      <x:c r="J74" s="2"/>
      <x:c r="K74" s="2"/>
      <x:c r="L74" s="2"/>
    </x:row>
    <x:row r="75" ht="15" hidden="0">
      <x:c r="A75" s="2"/>
      <x:c r="B75" s="2"/>
      <x:c r="C75" s="2"/>
      <x:c r="D75" s="2"/>
      <x:c r="E75" s="2"/>
      <x:c r="F75" s="2"/>
      <x:c r="G75" s="2"/>
      <x:c r="H75" s="2"/>
      <x:c r="I75" s="2"/>
      <x:c r="J75" s="2"/>
      <x:c r="K75" s="2"/>
      <x:c r="L75" s="2"/>
    </x:row>
    <x:row r="76" ht="15" hidden="0">
      <x:c r="A76" s="2"/>
      <x:c r="B76" s="2"/>
      <x:c r="C76" s="2"/>
      <x:c r="D76" s="2"/>
      <x:c r="E76" s="2"/>
      <x:c r="F76" s="2"/>
      <x:c r="G76" s="2"/>
      <x:c r="H76" s="2"/>
      <x:c r="I76" s="2"/>
      <x:c r="J76" s="2"/>
      <x:c r="K76" s="2"/>
      <x:c r="L76" s="2"/>
    </x:row>
    <x:row r="77" ht="15" hidden="0">
      <x:c r="A77" s="2"/>
      <x:c r="B77" s="2"/>
      <x:c r="C77" s="2"/>
      <x:c r="D77" s="2"/>
      <x:c r="E77" s="2"/>
      <x:c r="F77" s="2"/>
      <x:c r="G77" s="2"/>
      <x:c r="H77" s="2"/>
      <x:c r="I77" s="2"/>
      <x:c r="J77" s="2"/>
      <x:c r="K77" s="2"/>
      <x:c r="L77" s="2"/>
    </x:row>
    <x:row r="78" ht="15" hidden="0">
      <x:c r="A78" s="2"/>
      <x:c r="B78" s="2"/>
      <x:c r="C78" s="2"/>
      <x:c r="D78" s="2"/>
      <x:c r="E78" s="2"/>
      <x:c r="F78" s="2"/>
      <x:c r="G78" s="2"/>
      <x:c r="H78" s="2"/>
      <x:c r="I78" s="2"/>
      <x:c r="J78" s="2"/>
      <x:c r="K78" s="2"/>
      <x:c r="L78" s="2"/>
    </x:row>
    <x:row r="79" ht="15" hidden="0">
      <x:c r="A79" s="2"/>
      <x:c r="B79" s="2"/>
      <x:c r="C79" s="2"/>
      <x:c r="D79" s="2"/>
      <x:c r="E79" s="2"/>
      <x:c r="F79" s="2"/>
      <x:c r="G79" s="2"/>
      <x:c r="H79" s="2"/>
      <x:c r="I79" s="2"/>
      <x:c r="J79" s="2"/>
      <x:c r="K79" s="2"/>
      <x:c r="L79" s="2"/>
    </x:row>
    <x:row r="80" ht="15" hidden="0">
      <x:c r="A80" s="2"/>
      <x:c r="B80" s="2"/>
      <x:c r="C80" s="2"/>
      <x:c r="D80" s="2"/>
      <x:c r="E80" s="2"/>
      <x:c r="F80" s="2"/>
      <x:c r="G80" s="2"/>
      <x:c r="H80" s="2"/>
      <x:c r="I80" s="2"/>
      <x:c r="J80" s="2"/>
      <x:c r="K80" s="2"/>
      <x:c r="L80" s="2"/>
    </x:row>
  </x:sheetData>
  <x:mergeCells>
    <x:mergeCell ref="A1:J1"/>
    <x:mergeCell ref="B2:J3"/>
    <x:mergeCell ref="B57:J60"/>
    <x:mergeCell ref="B62:J65"/>
  </x:mergeCells>
  <x:pageMargins left="0.7" right="0.7" top="0.75" bottom="0.75" header="0.3" footer="0.3"/>
</x:worksheet>
</file>

<file path=xl/worksheets/sheet9.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TRANSACTION LENS</x:v>
      </x:c>
      <x:c r="B1" s="113"/>
      <x:c r="C1" s="113"/>
      <x:c r="D1" s="113"/>
      <x:c r="E1" s="113"/>
      <x:c r="F1" s="113"/>
      <x:c r="G1" s="113"/>
      <x:c r="H1" s="113"/>
      <x:c r="I1" s="114"/>
      <x:c r="J1" s="114"/>
    </x:row>
    <x:row r="2" ht="20" hidden="0" customHeight="1">
      <x:c r="A2" s="103"/>
      <x:c r="B2" s="117" t="str">
        <x:v>A control premium is not evidence that the same price works for every buyer.</x:v>
      </x:c>
      <x:c r="C2" s="117"/>
      <x:c r="D2" s="117"/>
      <x:c r="E2" s="117"/>
      <x:c r="F2" s="117"/>
      <x:c r="G2" s="117"/>
      <x:c r="H2" s="117"/>
      <x:c r="I2" s="118"/>
      <x:c r="J2" s="118"/>
    </x:row>
    <x:row r="3" ht="20" hidden="0" customHeight="1">
      <x:c r="A3" s="90"/>
      <x:c r="B3" s="118"/>
      <x:c r="C3" s="118"/>
      <x:c r="D3" s="118"/>
      <x:c r="E3" s="118"/>
      <x:c r="F3" s="118"/>
      <x:c r="G3" s="118"/>
      <x:c r="H3" s="118"/>
      <x:c r="I3" s="118"/>
      <x:c r="J3" s="118"/>
    </x:row>
    <x:row r="4" ht="20" hidden="0" customHeight="1">
      <x:c r="A4" s="88"/>
      <x:c r="B4" s="88"/>
      <x:c r="C4" s="88"/>
      <x:c r="D4" s="88"/>
      <x:c r="E4" s="88"/>
      <x:c r="F4" s="88"/>
      <x:c r="G4" s="88"/>
      <x:c r="H4" s="88"/>
      <x:c r="I4" s="90"/>
      <x:c r="J4" s="90"/>
    </x:row>
    <x:row r="5" ht="24" hidden="0" customHeight="1">
      <x:c r="A5" s="90"/>
      <x:c r="B5" s="262" t="str">
        <x:v>COMPARISON WORKSHEET</x:v>
      </x:c>
      <x:c r="C5" s="262"/>
      <x:c r="D5" s="262"/>
      <x:c r="E5" s="263"/>
      <x:c r="F5" s="262"/>
      <x:c r="G5" s="121"/>
      <x:c r="H5" s="121"/>
      <x:c r="I5" s="121"/>
      <x:c r="J5" s="121"/>
    </x:row>
    <x:row r="6" ht="20" hidden="0" customHeight="1">
      <x:c r="A6" s="90"/>
      <x:c r="B6" s="90"/>
      <x:c r="C6" s="90"/>
      <x:c r="D6" s="90"/>
      <x:c r="E6" s="106"/>
      <x:c r="F6" s="103"/>
      <x:c r="G6" s="90"/>
      <x:c r="H6" s="90"/>
      <x:c r="I6" s="90"/>
      <x:c r="J6" s="90"/>
    </x:row>
    <x:row r="7" ht="34" hidden="0" customHeight="1">
      <x:c r="A7" s="90"/>
      <x:c r="B7" s="137" t="str">
        <x:v>Target / date</x:v>
      </x:c>
      <x:c r="C7" s="137" t="str">
        <x:v>Enterprise value</x:v>
      </x:c>
      <x:c r="D7" s="137" t="str">
        <x:v>EBITDA</x:v>
      </x:c>
      <x:c r="E7" s="198" t="str">
        <x:v>EV / EBITDA</x:v>
      </x:c>
      <x:c r="F7" s="295" t="str">
        <x:v>NCI value</x:v>
      </x:c>
      <x:c r="G7" s="137" t="str">
        <x:v>Debt basis</x:v>
      </x:c>
      <x:c r="H7" s="90"/>
      <x:c r="I7" s="90"/>
      <x:c r="J7" s="90"/>
    </x:row>
    <x:row r="8" ht="20" hidden="0" customHeight="1">
      <x:c r="A8" s="90"/>
      <x:c r="B8" s="90" t="str">
        <x:v>Transaction 1 assumption</x:v>
      </x:c>
      <x:c r="C8" s="140" t="n">
        <x:v>0</x:v>
      </x:c>
      <x:c r="D8" s="140" t="n">
        <x:v>0</x:v>
      </x:c>
      <x:c r="E8" s="146" t="n">
        <x:f>IF(D8&gt;0,C8/D8,0)</x:f>
        <x:v>0</x:v>
      </x:c>
      <x:c r="F8" s="265" t="n">
        <x:v>0</x:v>
      </x:c>
      <x:c r="G8" s="90" t="str">
        <x:v>Funded debt</x:v>
      </x:c>
      <x:c r="H8" s="90"/>
      <x:c r="I8" s="90"/>
      <x:c r="J8" s="90"/>
    </x:row>
    <x:row r="9" ht="20" hidden="0" customHeight="1">
      <x:c r="A9" s="90"/>
      <x:c r="B9" s="90" t="str">
        <x:v>Transaction 2 assumption</x:v>
      </x:c>
      <x:c r="C9" s="140" t="n">
        <x:v>0</x:v>
      </x:c>
      <x:c r="D9" s="140" t="n">
        <x:v>0</x:v>
      </x:c>
      <x:c r="E9" s="149" t="n">
        <x:f>IF(D9&gt;0,C9/D9,0)</x:f>
        <x:v>0</x:v>
      </x:c>
      <x:c r="F9" s="140" t="n">
        <x:v>0</x:v>
      </x:c>
      <x:c r="G9" s="90" t="str">
        <x:v>Funded debt</x:v>
      </x:c>
      <x:c r="H9" s="90"/>
      <x:c r="I9" s="90"/>
      <x:c r="J9" s="90"/>
    </x:row>
    <x:row r="10" ht="20" hidden="0" customHeight="1">
      <x:c r="A10" s="90"/>
      <x:c r="B10" s="166" t="str">
        <x:v>Transaction 3 assumption</x:v>
      </x:c>
      <x:c r="C10" s="268" t="n">
        <x:v>0</x:v>
      </x:c>
      <x:c r="D10" s="268" t="n">
        <x:v>0</x:v>
      </x:c>
      <x:c r="E10" s="269" t="n">
        <x:f>IF(D10&gt;0,C10/D10,0)</x:f>
        <x:v>0</x:v>
      </x:c>
      <x:c r="F10" s="268" t="n">
        <x:v>0</x:v>
      </x:c>
      <x:c r="G10" s="166" t="str">
        <x:v>Funded debt</x:v>
      </x:c>
      <x:c r="H10" s="90"/>
      <x:c r="I10" s="90"/>
      <x:c r="J10" s="90"/>
    </x:row>
    <x:row r="11" ht="20" hidden="0" customHeight="1">
      <x:c r="A11" s="90"/>
      <x:c r="B11" s="166" t="str">
        <x:v>Transaction 4 assumption</x:v>
      </x:c>
      <x:c r="C11" s="268" t="n">
        <x:v>0</x:v>
      </x:c>
      <x:c r="D11" s="268" t="n">
        <x:v>0</x:v>
      </x:c>
      <x:c r="E11" s="269" t="n">
        <x:f>IF(D11&gt;0,C11/D11,0)</x:f>
        <x:v>0</x:v>
      </x:c>
      <x:c r="F11" s="268" t="n">
        <x:v>0</x:v>
      </x:c>
      <x:c r="G11" s="166" t="str">
        <x:v>Funded debt</x:v>
      </x:c>
      <x:c r="H11" s="90"/>
      <x:c r="I11" s="90"/>
      <x:c r="J11" s="90"/>
    </x:row>
    <x:row r="12" ht="20" hidden="0" customHeight="1">
      <x:c r="A12" s="90"/>
      <x:c r="B12" s="166"/>
      <x:c r="C12" s="166"/>
      <x:c r="D12" s="166"/>
      <x:c r="E12" s="166"/>
      <x:c r="F12" s="166"/>
      <x:c r="G12" s="166"/>
      <x:c r="H12" s="90"/>
      <x:c r="I12" s="90"/>
      <x:c r="J12" s="90"/>
    </x:row>
    <x:row r="13" ht="20" hidden="0" customHeight="1">
      <x:c r="A13" s="90"/>
      <x:c r="B13" s="166"/>
      <x:c r="C13" s="166"/>
      <x:c r="D13" s="166"/>
      <x:c r="E13" s="166"/>
      <x:c r="F13" s="166"/>
      <x:c r="G13" s="166"/>
      <x:c r="H13" s="90"/>
      <x:c r="I13" s="90"/>
      <x:c r="J13" s="90"/>
    </x:row>
    <x:row r="14" ht="20" hidden="0" customHeight="1">
      <x:c r="A14" s="90"/>
      <x:c r="B14" s="90"/>
      <x:c r="C14" s="90"/>
      <x:c r="D14" s="90"/>
      <x:c r="E14" s="90"/>
      <x:c r="F14" s="90"/>
      <x:c r="G14" s="90"/>
      <x:c r="H14" s="90"/>
      <x:c r="I14" s="90"/>
      <x:c r="J14" s="90"/>
    </x:row>
    <x:row r="15" ht="20" hidden="0" customHeight="1">
      <x:c r="A15" s="90"/>
      <x:c r="B15" s="118" t="str">
        <x:v>Enter a disclosed transaction value and a matching-period EBITDA. Identify whether physician minority interests are bought or retained. Zero means no transaction assumption entered; these rows do not set the valuation summary.</x:v>
      </x:c>
      <x:c r="C15" s="118"/>
      <x:c r="D15" s="118"/>
      <x:c r="E15" s="118"/>
      <x:c r="F15" s="118"/>
      <x:c r="G15" s="118"/>
      <x:c r="H15" s="118"/>
      <x:c r="I15" s="118"/>
      <x:c r="J15" s="118"/>
    </x:row>
    <x:row r="16" ht="20" hidden="0" customHeight="1">
      <x:c r="A16" s="90"/>
      <x:c r="B16" s="118"/>
      <x:c r="C16" s="118"/>
      <x:c r="D16" s="118"/>
      <x:c r="E16" s="118"/>
      <x:c r="F16" s="118"/>
      <x:c r="G16" s="118"/>
      <x:c r="H16" s="118"/>
      <x:c r="I16" s="118"/>
      <x:c r="J16" s="118"/>
    </x:row>
    <x:row r="17" ht="20" hidden="0" customHeight="1">
      <x:c r="A17" s="90"/>
      <x:c r="B17" s="118"/>
      <x:c r="C17" s="118"/>
      <x:c r="D17" s="118"/>
      <x:c r="E17" s="118"/>
      <x:c r="F17" s="118"/>
      <x:c r="G17" s="118"/>
      <x:c r="H17" s="118"/>
      <x:c r="I17" s="118"/>
      <x:c r="J17" s="118"/>
    </x:row>
    <x:row r="18" ht="20" hidden="0" customHeight="1">
      <x:c r="A18" s="90"/>
      <x:c r="B18" s="118"/>
      <x:c r="C18" s="118"/>
      <x:c r="D18" s="118"/>
      <x:c r="E18" s="118"/>
      <x:c r="F18" s="118"/>
      <x:c r="G18" s="118"/>
      <x:c r="H18" s="118"/>
      <x:c r="I18" s="118"/>
      <x:c r="J18" s="118"/>
    </x:row>
    <x:row r="19" ht="20" hidden="0" customHeight="1">
      <x:c r="A19" s="90"/>
      <x:c r="B19" s="90"/>
      <x:c r="C19" s="90"/>
      <x:c r="D19" s="90"/>
      <x:c r="E19" s="90"/>
      <x:c r="F19" s="90"/>
      <x:c r="G19" s="90"/>
      <x:c r="H19" s="90"/>
      <x:c r="I19" s="90"/>
      <x:c r="J19" s="90"/>
    </x:row>
    <x:row r="20" ht="20" hidden="0" customHeight="1">
      <x:c r="A20" s="90"/>
      <x:c r="B20" s="90"/>
      <x:c r="C20" s="90"/>
      <x:c r="D20" s="90"/>
      <x:c r="E20" s="90"/>
      <x:c r="F20" s="90"/>
      <x:c r="G20" s="90"/>
      <x:c r="H20" s="90"/>
      <x:c r="I20" s="90"/>
      <x:c r="J20" s="90"/>
    </x:row>
    <x:row r="21" ht="20" hidden="0" customHeight="1">
      <x:c r="A21" s="90"/>
      <x:c r="B21" s="118" t="str">
        <x:v>Compare ownership, payer mix, case mix, hospital versus ASC exposure and physician retention before applying a multiple. A strategic buyer may pay for its own synergies; those benefits do not automatically belong in standalone value.</x:v>
      </x:c>
      <x:c r="C21" s="118"/>
      <x:c r="D21" s="118"/>
      <x:c r="E21" s="118"/>
      <x:c r="F21" s="118"/>
      <x:c r="G21" s="118"/>
      <x:c r="H21" s="118"/>
      <x:c r="I21" s="118"/>
      <x:c r="J21" s="118"/>
    </x:row>
    <x:row r="22" ht="20" hidden="0" customHeight="1">
      <x:c r="A22" s="90"/>
      <x:c r="B22" s="118"/>
      <x:c r="C22" s="118"/>
      <x:c r="D22" s="118"/>
      <x:c r="E22" s="118"/>
      <x:c r="F22" s="118"/>
      <x:c r="G22" s="118"/>
      <x:c r="H22" s="118"/>
      <x:c r="I22" s="118"/>
      <x:c r="J22" s="118"/>
    </x:row>
    <x:row r="23" ht="20" hidden="0" customHeight="1">
      <x:c r="A23" s="90"/>
      <x:c r="B23" s="118"/>
      <x:c r="C23" s="118"/>
      <x:c r="D23" s="118"/>
      <x:c r="E23" s="118"/>
      <x:c r="F23" s="118"/>
      <x:c r="G23" s="118"/>
      <x:c r="H23" s="118"/>
      <x:c r="I23" s="118"/>
      <x:c r="J23" s="118"/>
    </x:row>
    <x:row r="24" ht="20" hidden="0" customHeight="1">
      <x:c r="A24" s="90"/>
      <x:c r="B24" s="118"/>
      <x:c r="C24" s="118"/>
      <x:c r="D24" s="118"/>
      <x:c r="E24" s="118"/>
      <x:c r="F24" s="118"/>
      <x:c r="G24" s="118"/>
      <x:c r="H24" s="118"/>
      <x:c r="I24" s="118"/>
      <x:c r="J24" s="118"/>
    </x:row>
    <x:row r="25" ht="20" hidden="0" customHeight="1">
      <x:c r="A25" s="90"/>
      <x:c r="B25" s="90"/>
      <x:c r="C25" s="90"/>
      <x:c r="D25" s="90"/>
      <x:c r="E25" s="90"/>
      <x:c r="F25" s="90"/>
      <x:c r="G25" s="90"/>
      <x:c r="H25" s="90"/>
      <x:c r="I25" s="90"/>
      <x:c r="J25" s="90"/>
    </x:row>
    <x:row r="26" ht="20" hidden="0" customHeight="1">
      <x:c r="A26" s="90"/>
      <x:c r="B26" s="90"/>
      <x:c r="C26" s="90"/>
      <x:c r="D26" s="90"/>
      <x:c r="E26" s="90"/>
      <x:c r="F26" s="90"/>
      <x:c r="G26" s="90"/>
      <x:c r="H26" s="90"/>
      <x:c r="I26" s="90"/>
      <x:c r="J26" s="90"/>
    </x:row>
    <x:row r="27" ht="20" hidden="0" customHeight="1">
      <x:c r="A27" s="90"/>
      <x:c r="B27" s="90"/>
      <x:c r="C27" s="90"/>
      <x:c r="D27" s="90"/>
      <x:c r="E27" s="90"/>
      <x:c r="F27" s="90"/>
      <x:c r="G27" s="90"/>
      <x:c r="H27" s="90"/>
      <x:c r="I27" s="90"/>
      <x:c r="J27" s="90"/>
    </x:row>
    <x:row r="28" ht="20" hidden="0" customHeight="1">
      <x:c r="A28" s="90"/>
      <x:c r="B28" s="90"/>
      <x:c r="C28" s="90"/>
      <x:c r="D28" s="90"/>
      <x:c r="E28" s="90"/>
      <x:c r="F28" s="90"/>
      <x:c r="G28" s="90"/>
      <x:c r="H28" s="90"/>
      <x:c r="I28" s="90"/>
      <x:c r="J28" s="90"/>
    </x:row>
    <x:row r="29" ht="20" hidden="0" customHeight="1">
      <x:c r="A29" s="90"/>
      <x:c r="B29" s="90"/>
      <x:c r="C29" s="90"/>
      <x:c r="D29" s="90"/>
      <x:c r="E29" s="90"/>
      <x:c r="F29" s="90"/>
      <x:c r="G29" s="90"/>
      <x:c r="H29" s="90"/>
      <x:c r="I29" s="90"/>
      <x:c r="J29" s="90"/>
    </x:row>
    <x:row r="30" ht="20" hidden="0" customHeight="1">
      <x:c r="A30" s="90"/>
      <x:c r="B30" s="90"/>
      <x:c r="C30" s="90"/>
      <x:c r="D30" s="90"/>
      <x:c r="E30" s="90"/>
      <x:c r="F30" s="90"/>
      <x:c r="G30" s="90"/>
      <x:c r="H30" s="90"/>
      <x:c r="I30" s="90"/>
      <x:c r="J30" s="90"/>
    </x:row>
    <x:row r="31" ht="20" hidden="0" customHeight="1">
      <x:c r="A31" s="90"/>
      <x:c r="B31" s="90"/>
      <x:c r="C31" s="90"/>
      <x:c r="D31" s="90"/>
      <x:c r="E31" s="90"/>
      <x:c r="F31" s="90"/>
      <x:c r="G31" s="90"/>
      <x:c r="H31" s="90"/>
      <x:c r="I31" s="90"/>
      <x:c r="J31" s="90"/>
    </x:row>
    <x:row r="32" ht="20" hidden="0" customHeight="1">
      <x:c r="A32" s="90"/>
      <x:c r="B32" s="90"/>
      <x:c r="C32" s="90"/>
      <x:c r="D32" s="90"/>
      <x:c r="E32" s="90"/>
      <x:c r="F32" s="90"/>
      <x:c r="G32" s="90"/>
      <x:c r="H32" s="90"/>
      <x:c r="I32" s="90"/>
      <x:c r="J32" s="90"/>
    </x:row>
    <x:row r="33" ht="20" hidden="0" customHeight="1">
      <x:c r="A33" s="90"/>
      <x:c r="B33" s="90"/>
      <x:c r="C33" s="90"/>
      <x:c r="D33" s="90"/>
      <x:c r="E33" s="90"/>
      <x:c r="F33" s="90"/>
      <x:c r="G33" s="90"/>
      <x:c r="H33" s="90"/>
      <x:c r="I33" s="90"/>
      <x:c r="J33" s="90"/>
    </x:row>
    <x:row r="34" ht="20" hidden="0" customHeight="1">
      <x:c r="A34" s="90"/>
      <x:c r="B34" s="90"/>
      <x:c r="C34" s="90"/>
      <x:c r="D34" s="90"/>
      <x:c r="E34" s="90"/>
      <x:c r="F34" s="90"/>
      <x:c r="G34" s="90"/>
      <x:c r="H34" s="90"/>
      <x:c r="I34" s="90"/>
      <x:c r="J34" s="90"/>
    </x:row>
    <x:row r="35" ht="20" hidden="0" customHeight="1">
      <x:c r="A35" s="90"/>
      <x:c r="B35" s="90"/>
      <x:c r="C35" s="90"/>
      <x:c r="D35" s="90"/>
      <x:c r="E35" s="90"/>
      <x:c r="F35" s="90"/>
      <x:c r="G35" s="90"/>
      <x:c r="H35" s="90"/>
      <x:c r="I35" s="90"/>
      <x:c r="J35" s="90"/>
    </x:row>
    <x:row r="36" ht="20" hidden="0" customHeight="1">
      <x:c r="A36" s="90"/>
      <x:c r="B36" s="90"/>
      <x:c r="C36" s="90"/>
      <x:c r="D36" s="90"/>
      <x:c r="E36" s="90"/>
      <x:c r="F36" s="90"/>
      <x:c r="G36" s="90"/>
      <x:c r="H36" s="90"/>
      <x:c r="I36" s="90"/>
      <x:c r="J36" s="90"/>
    </x:row>
    <x:row r="37" ht="20" hidden="0" customHeight="1">
      <x:c r="A37" s="90"/>
      <x:c r="B37" s="90"/>
      <x:c r="C37" s="90"/>
      <x:c r="D37" s="90"/>
      <x:c r="E37" s="90"/>
      <x:c r="F37" s="90"/>
      <x:c r="G37" s="90"/>
      <x:c r="H37" s="90"/>
      <x:c r="I37" s="90"/>
      <x:c r="J37" s="90"/>
    </x:row>
    <x:row r="38" ht="15" hidden="0">
      <x:c r="A38" s="2"/>
      <x:c r="B38" s="2"/>
      <x:c r="C38" s="2"/>
      <x:c r="D38" s="2"/>
      <x:c r="E38" s="2"/>
      <x:c r="F38" s="2"/>
      <x:c r="G38" s="2"/>
      <x:c r="H38" s="2"/>
      <x:c r="I38" s="2"/>
      <x:c r="J38" s="2"/>
    </x:row>
    <x:row r="39" ht="15" hidden="0">
      <x:c r="A39" s="2"/>
      <x:c r="B39" s="2"/>
      <x:c r="C39" s="2"/>
      <x:c r="D39" s="2"/>
      <x:c r="E39" s="2"/>
      <x:c r="F39" s="2"/>
      <x:c r="G39" s="2"/>
      <x:c r="H39" s="2"/>
      <x:c r="I39" s="2"/>
      <x:c r="J39" s="2"/>
    </x:row>
    <x:row r="40" ht="15" hidden="0">
      <x:c r="A40" s="2"/>
      <x:c r="B40" s="2"/>
      <x:c r="C40" s="2"/>
      <x:c r="D40" s="2"/>
      <x:c r="E40" s="2"/>
      <x:c r="F40" s="2"/>
      <x:c r="G40" s="2"/>
      <x:c r="H40" s="2"/>
      <x:c r="I40" s="2"/>
      <x:c r="J40" s="2"/>
    </x:row>
    <x:row r="41" ht="15" hidden="0">
      <x:c r="A41" s="2"/>
      <x:c r="B41" s="2"/>
      <x:c r="C41" s="2"/>
      <x:c r="D41" s="2"/>
      <x:c r="E41" s="2"/>
      <x:c r="F41" s="2"/>
      <x:c r="G41" s="2"/>
      <x:c r="H41" s="2"/>
      <x:c r="I41" s="2"/>
      <x:c r="J41" s="2"/>
    </x:row>
    <x:row r="42" ht="15" hidden="0">
      <x:c r="A42" s="2"/>
      <x:c r="B42" s="2"/>
      <x:c r="C42" s="2"/>
      <x:c r="D42" s="2"/>
      <x:c r="E42" s="2"/>
      <x:c r="F42" s="2"/>
      <x:c r="G42" s="2"/>
      <x:c r="H42" s="2"/>
      <x:c r="I42" s="2"/>
      <x:c r="J42" s="2"/>
    </x:row>
    <x:row r="43" ht="15" hidden="0">
      <x:c r="A43" s="2"/>
      <x:c r="B43" s="2"/>
      <x:c r="C43" s="2"/>
      <x:c r="D43" s="2"/>
      <x:c r="E43" s="2"/>
      <x:c r="F43" s="2"/>
      <x:c r="G43" s="2"/>
      <x:c r="H43" s="2"/>
      <x:c r="I43" s="2"/>
      <x:c r="J43" s="2"/>
    </x:row>
    <x:row r="44" ht="15" hidden="0">
      <x:c r="A44" s="2"/>
      <x:c r="B44" s="2"/>
      <x:c r="C44" s="2"/>
      <x:c r="D44" s="2"/>
      <x:c r="E44" s="2"/>
      <x:c r="F44" s="2"/>
      <x:c r="G44" s="2"/>
      <x:c r="H44" s="2"/>
      <x:c r="I44" s="2"/>
      <x:c r="J44" s="2"/>
    </x:row>
    <x:row r="45" ht="15" hidden="0">
      <x:c r="A45" s="2"/>
      <x:c r="B45" s="2"/>
      <x:c r="C45" s="2"/>
      <x:c r="D45" s="2"/>
      <x:c r="E45" s="2"/>
      <x:c r="F45" s="2"/>
      <x:c r="G45" s="2"/>
      <x:c r="H45" s="2"/>
      <x:c r="I45" s="2"/>
      <x:c r="J45" s="2"/>
    </x:row>
    <x:row r="46" ht="15" hidden="0">
      <x:c r="A46" s="2"/>
      <x:c r="B46" s="2"/>
      <x:c r="C46" s="2"/>
      <x:c r="D46" s="2"/>
      <x:c r="E46" s="2"/>
      <x:c r="F46" s="2"/>
      <x:c r="G46" s="2"/>
      <x:c r="H46" s="2"/>
      <x:c r="I46" s="2"/>
      <x:c r="J46" s="2"/>
    </x:row>
    <x:row r="47" ht="15" hidden="0">
      <x:c r="A47" s="2"/>
      <x:c r="B47" s="2"/>
      <x:c r="C47" s="2"/>
      <x:c r="D47" s="2"/>
      <x:c r="E47" s="2"/>
      <x:c r="F47" s="2"/>
      <x:c r="G47" s="2"/>
      <x:c r="H47" s="2"/>
      <x:c r="I47" s="2"/>
      <x:c r="J47" s="2"/>
    </x:row>
    <x:row r="48" ht="15" hidden="0">
      <x:c r="A48" s="2"/>
      <x:c r="B48" s="2"/>
      <x:c r="C48" s="2"/>
      <x:c r="D48" s="2"/>
      <x:c r="E48" s="2"/>
      <x:c r="F48" s="2"/>
      <x:c r="G48" s="2"/>
      <x:c r="H48" s="2"/>
      <x:c r="I48" s="2"/>
      <x:c r="J48" s="2"/>
    </x:row>
    <x:row r="49" ht="15" hidden="0">
      <x:c r="A49" s="2"/>
      <x:c r="B49" s="2"/>
      <x:c r="C49" s="2"/>
      <x:c r="D49" s="2"/>
      <x:c r="E49" s="2"/>
      <x:c r="F49" s="2"/>
      <x:c r="G49" s="2"/>
      <x:c r="H49" s="2"/>
      <x:c r="I49" s="2"/>
      <x:c r="J49" s="2"/>
    </x:row>
    <x:row r="50" ht="15" hidden="0">
      <x:c r="A50" s="2"/>
      <x:c r="B50" s="2"/>
      <x:c r="C50" s="2"/>
      <x:c r="D50" s="2"/>
      <x:c r="E50" s="2"/>
      <x:c r="F50" s="2"/>
      <x:c r="G50" s="2"/>
      <x:c r="H50" s="2"/>
      <x:c r="I50" s="2"/>
      <x:c r="J50" s="2"/>
    </x:row>
  </x:sheetData>
  <x:mergeCells>
    <x:mergeCell ref="A1:J1"/>
    <x:mergeCell ref="B2:J3"/>
    <x:mergeCell ref="B5:J5"/>
    <x:mergeCell ref="B15:J18"/>
    <x:mergeCell ref="B21:J24"/>
  </x:mergeCells>
  <x:pageMargins left="0.7" right="0.7" top="0.75" bottom="0.75" header="0.3" footer="0.3"/>
</x:worksheet>
</file>

<file path=xl/worksheets/sheet10.xml><?xml version="1.0" encoding="utf-8"?>
<x:worksheet xmlns:x="http://schemas.openxmlformats.org/spreadsheetml/2006/main">
  <x:sheetPr>
    <x:tabColor rgb="FFFF0000"/>
  </x:sheetPr>
  <x:sheetViews>
    <x:sheetView showGridLines="0" workbookViewId="0"/>
  </x:sheetViews>
  <x:sheetFormatPr defaultColWidth="8.6796875" defaultRowHeight="15"/>
  <x:cols>
    <x:col min="1" max="1" width="2" hidden="0" customWidth="1"/>
    <x:col min="2" max="2" width="49"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ASSET-LEVEL VALUE</x:v>
      </x:c>
      <x:c r="B1" s="113"/>
      <x:c r="C1" s="113"/>
      <x:c r="D1" s="113"/>
      <x:c r="E1" s="113"/>
      <x:c r="F1" s="113"/>
      <x:c r="G1" s="113"/>
      <x:c r="H1" s="113"/>
      <x:c r="I1" s="114"/>
      <x:c r="J1" s="114"/>
    </x:row>
    <x:row r="2" ht="20" hidden="0" customHeight="1">
      <x:c r="A2" s="103"/>
      <x:c r="B2" s="117" t="str">
        <x:v>Use facility-level economics when a blended company multiple hides different risks.</x:v>
      </x:c>
      <x:c r="C2" s="117"/>
      <x:c r="D2" s="117"/>
      <x:c r="E2" s="117"/>
      <x:c r="F2" s="117"/>
      <x:c r="G2" s="117"/>
      <x:c r="H2" s="117"/>
      <x:c r="I2" s="118"/>
      <x:c r="J2" s="118"/>
    </x:row>
    <x:row r="3" ht="20" hidden="0" customHeight="1">
      <x:c r="A3" s="90"/>
      <x:c r="B3" s="118"/>
      <x:c r="C3" s="118"/>
      <x:c r="D3" s="118"/>
      <x:c r="E3" s="118"/>
      <x:c r="F3" s="118"/>
      <x:c r="G3" s="118"/>
      <x:c r="H3" s="118"/>
      <x:c r="I3" s="118"/>
      <x:c r="J3" s="118"/>
    </x:row>
    <x:row r="4" ht="20" hidden="0" customHeight="1">
      <x:c r="A4" s="90"/>
      <x:c r="B4" s="158"/>
      <x:c r="C4" s="158"/>
      <x:c r="D4" s="158"/>
      <x:c r="E4" s="158"/>
      <x:c r="F4" s="158"/>
      <x:c r="G4" s="158"/>
      <x:c r="H4" s="158"/>
      <x:c r="I4" s="90"/>
      <x:c r="J4" s="90"/>
    </x:row>
    <x:row r="5" ht="20" hidden="0" customHeight="1">
      <x:c r="A5" s="90"/>
      <x:c r="B5" s="158"/>
      <x:c r="C5" s="158"/>
      <x:c r="D5" s="158"/>
      <x:c r="E5" s="158"/>
      <x:c r="F5" s="158"/>
      <x:c r="G5" s="158"/>
      <x:c r="H5" s="158"/>
      <x:c r="I5" s="90"/>
      <x:c r="J5" s="90"/>
    </x:row>
    <x:row r="6" ht="34" hidden="0" customHeight="1">
      <x:c r="A6" s="90"/>
      <x:c r="B6" s="296" t="str">
        <x:v>Facility / group</x:v>
      </x:c>
      <x:c r="C6" s="296" t="str">
        <x:v>Parent EBITDA</x:v>
      </x:c>
      <x:c r="D6" s="296" t="str">
        <x:v>Multiple</x:v>
      </x:c>
      <x:c r="E6" s="296" t="str">
        <x:v>Parent EV</x:v>
      </x:c>
      <x:c r="F6" s="296" t="str">
        <x:v>Cash costs</x:v>
      </x:c>
      <x:c r="G6" s="296" t="str">
        <x:v>Net value</x:v>
      </x:c>
      <x:c r="H6" s="158"/>
      <x:c r="I6" s="90"/>
      <x:c r="J6" s="90"/>
    </x:row>
    <x:row r="7" ht="20" hidden="0" customHeight="1">
      <x:c r="A7" s="90"/>
      <x:c r="B7" s="158" t="str">
        <x:v>Ambulatory centers assumption</x:v>
      </x:c>
      <x:c r="C7" s="273" t="n">
        <x:v>0</x:v>
      </x:c>
      <x:c r="D7" s="276" t="n">
        <x:v>9</x:v>
      </x:c>
      <x:c r="E7" s="271" t="n">
        <x:f>C7*D7</x:f>
        <x:v>0</x:v>
      </x:c>
      <x:c r="F7" s="273" t="n">
        <x:v>0</x:v>
      </x:c>
      <x:c r="G7" s="271" t="n">
        <x:f>E7-F7</x:f>
        <x:v>0</x:v>
      </x:c>
      <x:c r="H7" s="158"/>
      <x:c r="I7" s="90"/>
      <x:c r="J7" s="90"/>
    </x:row>
    <x:row r="8" ht="20" hidden="0" customHeight="1">
      <x:c r="A8" s="90"/>
      <x:c r="B8" s="158" t="str">
        <x:v>Surgical hospitals assumption</x:v>
      </x:c>
      <x:c r="C8" s="273" t="n">
        <x:v>0</x:v>
      </x:c>
      <x:c r="D8" s="276" t="n">
        <x:v>9</x:v>
      </x:c>
      <x:c r="E8" s="271" t="n">
        <x:f>C8*D8</x:f>
        <x:v>0</x:v>
      </x:c>
      <x:c r="F8" s="273" t="n">
        <x:v>0</x:v>
      </x:c>
      <x:c r="G8" s="271" t="n">
        <x:f>E8-F8</x:f>
        <x:v>0</x:v>
      </x:c>
      <x:c r="H8" s="158"/>
      <x:c r="I8" s="90"/>
      <x:c r="J8" s="90"/>
    </x:row>
    <x:row r="9" ht="20" hidden="0" customHeight="1">
      <x:c r="A9" s="90"/>
      <x:c r="B9" s="90" t="str">
        <x:v>Other operations assumption</x:v>
      </x:c>
      <x:c r="C9" s="140" t="n">
        <x:v>0</x:v>
      </x:c>
      <x:c r="D9" s="151" t="n">
        <x:v>9</x:v>
      </x:c>
      <x:c r="E9" s="138" t="n">
        <x:f>C9*D9</x:f>
        <x:v>0</x:v>
      </x:c>
      <x:c r="F9" s="140" t="n">
        <x:v>0</x:v>
      </x:c>
      <x:c r="G9" s="138" t="n">
        <x:f>E9-F9</x:f>
        <x:v>0</x:v>
      </x:c>
      <x:c r="H9" s="90"/>
      <x:c r="I9" s="90"/>
      <x:c r="J9" s="90"/>
    </x:row>
    <x:row r="10" ht="20" hidden="0" customHeight="1">
      <x:c r="A10" s="90"/>
      <x:c r="B10" s="90" t="str">
        <x:v>Corporate costs assumption</x:v>
      </x:c>
      <x:c r="C10" s="140" t="n">
        <x:v>0</x:v>
      </x:c>
      <x:c r="D10" s="151" t="n">
        <x:v>9</x:v>
      </x:c>
      <x:c r="E10" s="138" t="n">
        <x:f>C10*D10</x:f>
        <x:v>0</x:v>
      </x:c>
      <x:c r="F10" s="140" t="n">
        <x:v>0</x:v>
      </x:c>
      <x:c r="G10" s="138" t="n">
        <x:f>E10-F10</x:f>
        <x:v>0</x:v>
      </x:c>
      <x:c r="H10" s="90"/>
      <x:c r="I10" s="90"/>
      <x:c r="J10" s="90"/>
    </x:row>
    <x:row r="11" ht="20" hidden="0" customHeight="1">
      <x:c r="A11" s="90"/>
      <x:c r="B11" s="90"/>
      <x:c r="C11" s="90"/>
      <x:c r="D11" s="90"/>
      <x:c r="E11" s="90"/>
      <x:c r="F11" s="90"/>
      <x:c r="G11" s="90"/>
      <x:c r="H11" s="90"/>
      <x:c r="I11" s="90"/>
      <x:c r="J11" s="90"/>
    </x:row>
    <x:row r="12" ht="20" hidden="0" customHeight="1">
      <x:c r="A12" s="90"/>
      <x:c r="B12" s="90" t="str">
        <x:v>Parent enterprise value from entered assumptions</x:v>
      </x:c>
      <x:c r="C12" s="90"/>
      <x:c r="D12" s="90"/>
      <x:c r="E12" s="90"/>
      <x:c r="F12" s="90"/>
      <x:c r="G12" s="138" t="n">
        <x:f>SUM(G7:G10)</x:f>
        <x:v>0</x:v>
      </x:c>
      <x:c r="H12" s="90"/>
      <x:c r="I12" s="90"/>
      <x:c r="J12" s="90"/>
    </x:row>
    <x:row r="13" ht="20" hidden="0" customHeight="1">
      <x:c r="A13" s="90"/>
      <x:c r="B13" s="90"/>
      <x:c r="C13" s="90"/>
      <x:c r="D13" s="90"/>
      <x:c r="E13" s="90"/>
      <x:c r="F13" s="90"/>
      <x:c r="G13" s="90"/>
      <x:c r="H13" s="90"/>
      <x:c r="I13" s="90"/>
      <x:c r="J13" s="90"/>
    </x:row>
    <x:row r="14" ht="20" hidden="0" customHeight="1">
      <x:c r="A14" s="90"/>
      <x:c r="B14" s="90"/>
      <x:c r="C14" s="90"/>
      <x:c r="D14" s="90"/>
      <x:c r="E14" s="90"/>
      <x:c r="F14" s="90"/>
      <x:c r="G14" s="90"/>
      <x:c r="H14" s="90"/>
      <x:c r="I14" s="90"/>
      <x:c r="J14" s="90"/>
    </x:row>
    <x:row r="15" ht="20" hidden="0" customHeight="1">
      <x:c r="A15" s="90"/>
      <x:c r="B15" s="118" t="str">
        <x:v>Populate parent-attributable EBITDA after physician economics for each asset group; include corporate costs as a negative contribution. These optional assumptions are excluded from the headline valuation until a facility-level earnings allocation is available.</x:v>
      </x:c>
      <x:c r="C15" s="118"/>
      <x:c r="D15" s="118"/>
      <x:c r="E15" s="118"/>
      <x:c r="F15" s="118"/>
      <x:c r="G15" s="118"/>
      <x:c r="H15" s="118"/>
      <x:c r="I15" s="118"/>
      <x:c r="J15" s="118"/>
    </x:row>
    <x:row r="16" ht="20" hidden="0" customHeight="1">
      <x:c r="A16" s="90"/>
      <x:c r="B16" s="118"/>
      <x:c r="C16" s="118"/>
      <x:c r="D16" s="118"/>
      <x:c r="E16" s="118"/>
      <x:c r="F16" s="118"/>
      <x:c r="G16" s="118"/>
      <x:c r="H16" s="118"/>
      <x:c r="I16" s="118"/>
      <x:c r="J16" s="118"/>
    </x:row>
    <x:row r="17" ht="20" hidden="0" customHeight="1">
      <x:c r="A17" s="90"/>
      <x:c r="B17" s="118"/>
      <x:c r="C17" s="118"/>
      <x:c r="D17" s="118"/>
      <x:c r="E17" s="118"/>
      <x:c r="F17" s="118"/>
      <x:c r="G17" s="118"/>
      <x:c r="H17" s="118"/>
      <x:c r="I17" s="118"/>
      <x:c r="J17" s="118"/>
    </x:row>
    <x:row r="18" ht="20" hidden="0" customHeight="1">
      <x:c r="A18" s="90"/>
      <x:c r="B18" s="118"/>
      <x:c r="C18" s="118"/>
      <x:c r="D18" s="118"/>
      <x:c r="E18" s="118"/>
      <x:c r="F18" s="118"/>
      <x:c r="G18" s="118"/>
      <x:c r="H18" s="118"/>
      <x:c r="I18" s="118"/>
      <x:c r="J18" s="118"/>
    </x:row>
    <x:row r="19" ht="20" hidden="0" customHeight="1">
      <x:c r="A19" s="90"/>
      <x:c r="B19" s="90"/>
      <x:c r="C19" s="90"/>
      <x:c r="D19" s="90"/>
      <x:c r="E19" s="90"/>
      <x:c r="F19" s="90"/>
      <x:c r="G19" s="90"/>
      <x:c r="H19" s="90"/>
      <x:c r="I19" s="90"/>
      <x:c r="J19" s="90"/>
    </x:row>
    <x:row r="20" ht="20" hidden="0" customHeight="1">
      <x:c r="A20" s="90"/>
      <x:c r="B20" s="90"/>
      <x:c r="C20" s="90"/>
      <x:c r="D20" s="90"/>
      <x:c r="E20" s="90"/>
      <x:c r="F20" s="90"/>
      <x:c r="G20" s="90"/>
      <x:c r="H20" s="90"/>
      <x:c r="I20" s="90"/>
      <x:c r="J20" s="90"/>
    </x:row>
    <x:row r="21" ht="20" hidden="0" customHeight="1">
      <x:c r="A21" s="90"/>
      <x:c r="B21" s="118" t="str">
        <x:v>Start with physician retention, payer contracts, procedure mix, local capacity and maintenance spending. An attractive multiple cannot rescue an earnings stream that does not survive ownership transfer.</x:v>
      </x:c>
      <x:c r="C21" s="118"/>
      <x:c r="D21" s="118"/>
      <x:c r="E21" s="118"/>
      <x:c r="F21" s="118"/>
      <x:c r="G21" s="118"/>
      <x:c r="H21" s="118"/>
      <x:c r="I21" s="118"/>
      <x:c r="J21" s="118"/>
    </x:row>
    <x:row r="22" ht="20" hidden="0" customHeight="1">
      <x:c r="A22" s="90"/>
      <x:c r="B22" s="118"/>
      <x:c r="C22" s="118"/>
      <x:c r="D22" s="118"/>
      <x:c r="E22" s="118"/>
      <x:c r="F22" s="118"/>
      <x:c r="G22" s="118"/>
      <x:c r="H22" s="118"/>
      <x:c r="I22" s="118"/>
      <x:c r="J22" s="118"/>
    </x:row>
    <x:row r="23" ht="20" hidden="0" customHeight="1">
      <x:c r="A23" s="90"/>
      <x:c r="B23" s="118"/>
      <x:c r="C23" s="118"/>
      <x:c r="D23" s="118"/>
      <x:c r="E23" s="118"/>
      <x:c r="F23" s="118"/>
      <x:c r="G23" s="118"/>
      <x:c r="H23" s="118"/>
      <x:c r="I23" s="118"/>
      <x:c r="J23" s="118"/>
    </x:row>
    <x:row r="24" ht="20" hidden="0" customHeight="1">
      <x:c r="A24" s="90"/>
      <x:c r="B24" s="90"/>
      <x:c r="C24" s="90"/>
      <x:c r="D24" s="90"/>
      <x:c r="E24" s="90"/>
      <x:c r="F24" s="90"/>
      <x:c r="G24" s="90"/>
      <x:c r="H24" s="90"/>
      <x:c r="I24" s="90"/>
      <x:c r="J24" s="90"/>
    </x:row>
    <x:row r="25" ht="20" hidden="0" customHeight="1">
      <x:c r="A25" s="90"/>
      <x:c r="B25" s="90"/>
      <x:c r="C25" s="90"/>
      <x:c r="D25" s="90"/>
      <x:c r="E25" s="90"/>
      <x:c r="F25" s="90"/>
      <x:c r="G25" s="90"/>
      <x:c r="H25" s="90"/>
      <x:c r="I25" s="90"/>
      <x:c r="J25" s="90"/>
    </x:row>
    <x:row r="26" ht="20" hidden="0" customHeight="1">
      <x:c r="A26" s="90"/>
      <x:c r="B26" s="90"/>
      <x:c r="C26" s="90"/>
      <x:c r="D26" s="90"/>
      <x:c r="E26" s="90"/>
      <x:c r="F26" s="90"/>
      <x:c r="G26" s="90"/>
      <x:c r="H26" s="90"/>
      <x:c r="I26" s="90"/>
      <x:c r="J26" s="90"/>
    </x:row>
    <x:row r="27" ht="20" hidden="0" customHeight="1">
      <x:c r="A27" s="90"/>
      <x:c r="B27" s="90"/>
      <x:c r="C27" s="90"/>
      <x:c r="D27" s="90"/>
      <x:c r="E27" s="90"/>
      <x:c r="F27" s="90"/>
      <x:c r="G27" s="90"/>
      <x:c r="H27" s="90"/>
      <x:c r="I27" s="90"/>
      <x:c r="J27" s="90"/>
    </x:row>
    <x:row r="28" ht="20" hidden="0" customHeight="1">
      <x:c r="A28" s="90"/>
      <x:c r="B28" s="90"/>
      <x:c r="C28" s="90"/>
      <x:c r="D28" s="90"/>
      <x:c r="E28" s="90"/>
      <x:c r="F28" s="90"/>
      <x:c r="G28" s="90"/>
      <x:c r="H28" s="90"/>
      <x:c r="I28" s="90"/>
      <x:c r="J28" s="90"/>
    </x:row>
    <x:row r="29" ht="20" hidden="0" customHeight="1">
      <x:c r="A29" s="90"/>
      <x:c r="B29" s="90"/>
      <x:c r="C29" s="90"/>
      <x:c r="D29" s="90"/>
      <x:c r="E29" s="90"/>
      <x:c r="F29" s="90"/>
      <x:c r="G29" s="90"/>
      <x:c r="H29" s="90"/>
      <x:c r="I29" s="90"/>
      <x:c r="J29" s="90"/>
    </x:row>
    <x:row r="30" ht="20" hidden="0" customHeight="1">
      <x:c r="A30" s="90"/>
      <x:c r="B30" s="90"/>
      <x:c r="C30" s="90"/>
      <x:c r="D30" s="90"/>
      <x:c r="E30" s="90"/>
      <x:c r="F30" s="90"/>
      <x:c r="G30" s="90"/>
      <x:c r="H30" s="90"/>
      <x:c r="I30" s="90"/>
      <x:c r="J30" s="90"/>
    </x:row>
    <x:row r="31" ht="20" hidden="0" customHeight="1">
      <x:c r="A31" s="90"/>
      <x:c r="B31" s="90"/>
      <x:c r="C31" s="90"/>
      <x:c r="D31" s="90"/>
      <x:c r="E31" s="90"/>
      <x:c r="F31" s="90"/>
      <x:c r="G31" s="90"/>
      <x:c r="H31" s="90"/>
      <x:c r="I31" s="90"/>
      <x:c r="J31" s="90"/>
    </x:row>
    <x:row r="32" ht="20" hidden="0" customHeight="1">
      <x:c r="A32" s="90"/>
      <x:c r="B32" s="90"/>
      <x:c r="C32" s="90"/>
      <x:c r="D32" s="90"/>
      <x:c r="E32" s="90"/>
      <x:c r="F32" s="90"/>
      <x:c r="G32" s="90"/>
      <x:c r="H32" s="90"/>
      <x:c r="I32" s="90"/>
      <x:c r="J32" s="90"/>
    </x:row>
    <x:row r="33" ht="20" hidden="0" customHeight="1">
      <x:c r="A33" s="90"/>
      <x:c r="B33" s="90"/>
      <x:c r="C33" s="90"/>
      <x:c r="D33" s="90"/>
      <x:c r="E33" s="90"/>
      <x:c r="F33" s="90"/>
      <x:c r="G33" s="90"/>
      <x:c r="H33" s="90"/>
      <x:c r="I33" s="90"/>
      <x:c r="J33" s="90"/>
    </x:row>
    <x:row r="34" ht="20" hidden="0" customHeight="1">
      <x:c r="A34" s="90"/>
      <x:c r="B34" s="90"/>
      <x:c r="C34" s="90"/>
      <x:c r="D34" s="90"/>
      <x:c r="E34" s="90"/>
      <x:c r="F34" s="90"/>
      <x:c r="G34" s="90"/>
      <x:c r="H34" s="90"/>
      <x:c r="I34" s="90"/>
      <x:c r="J34" s="90"/>
    </x:row>
    <x:row r="35" ht="20" hidden="0" customHeight="1">
      <x:c r="A35" s="90"/>
      <x:c r="B35" s="90"/>
      <x:c r="C35" s="90"/>
      <x:c r="D35" s="90"/>
      <x:c r="E35" s="90"/>
      <x:c r="F35" s="90"/>
      <x:c r="G35" s="90"/>
      <x:c r="H35" s="90"/>
      <x:c r="I35" s="90"/>
      <x:c r="J35" s="90"/>
    </x:row>
    <x:row r="36" ht="20" hidden="0" customHeight="1">
      <x:c r="A36" s="90"/>
      <x:c r="B36" s="90"/>
      <x:c r="C36" s="90"/>
      <x:c r="D36" s="90"/>
      <x:c r="E36" s="90"/>
      <x:c r="F36" s="90"/>
      <x:c r="G36" s="90"/>
      <x:c r="H36" s="90"/>
      <x:c r="I36" s="90"/>
      <x:c r="J36" s="90"/>
    </x:row>
    <x:row r="37" ht="20" hidden="0" customHeight="1">
      <x:c r="A37" s="90"/>
      <x:c r="B37" s="90"/>
      <x:c r="C37" s="90"/>
      <x:c r="D37" s="90"/>
      <x:c r="E37" s="90"/>
      <x:c r="F37" s="90"/>
      <x:c r="G37" s="90"/>
      <x:c r="H37" s="90"/>
      <x:c r="I37" s="90"/>
      <x:c r="J37" s="90"/>
    </x:row>
    <x:row r="38" ht="15" hidden="0">
      <x:c r="A38" s="2"/>
      <x:c r="B38" s="2"/>
      <x:c r="C38" s="2"/>
      <x:c r="D38" s="2"/>
      <x:c r="E38" s="2"/>
      <x:c r="F38" s="2"/>
      <x:c r="G38" s="2"/>
      <x:c r="H38" s="2"/>
      <x:c r="I38" s="2"/>
      <x:c r="J38" s="2"/>
    </x:row>
    <x:row r="39" ht="15" hidden="0">
      <x:c r="A39" s="2"/>
      <x:c r="B39" s="2"/>
      <x:c r="C39" s="2"/>
      <x:c r="D39" s="2"/>
      <x:c r="E39" s="2"/>
      <x:c r="F39" s="2"/>
      <x:c r="G39" s="2"/>
      <x:c r="H39" s="2"/>
      <x:c r="I39" s="2"/>
      <x:c r="J39" s="2"/>
    </x:row>
    <x:row r="40" ht="15" hidden="0">
      <x:c r="A40" s="2"/>
      <x:c r="B40" s="2"/>
      <x:c r="C40" s="2"/>
      <x:c r="D40" s="2"/>
      <x:c r="E40" s="2"/>
      <x:c r="F40" s="2"/>
      <x:c r="G40" s="2"/>
      <x:c r="H40" s="2"/>
      <x:c r="I40" s="2"/>
      <x:c r="J40" s="2"/>
    </x:row>
  </x:sheetData>
  <x:mergeCells>
    <x:mergeCell ref="A1:J1"/>
    <x:mergeCell ref="B2:J3"/>
    <x:mergeCell ref="B15:J18"/>
    <x:mergeCell ref="B21:J23"/>
  </x:mergeCells>
  <x:pageMargins left="0.7" right="0.7" top="0.75" bottom="0.75" header="0.3" footer="0.3"/>
</x:worksheet>
</file>

<file path=xl/worksheets/sheet11.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7" width="13"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BUYER AFFORDABILITY</x:v>
      </x:c>
      <x:c r="B1" s="113"/>
      <x:c r="C1" s="113"/>
      <x:c r="D1" s="113"/>
      <x:c r="E1" s="113"/>
      <x:c r="F1" s="113"/>
      <x:c r="G1" s="113"/>
      <x:c r="H1" s="113"/>
      <x:c r="I1" s="113"/>
      <x:c r="J1" s="113"/>
    </x:row>
    <x:row r="2" ht="20" hidden="0" customHeight="1">
      <x:c r="A2" s="103"/>
      <x:c r="B2" s="117" t="str">
        <x:v>Buy the parent equity; physician minority interests remain in place. Standalone cash flow supports debt; buyer synergies are excluded.</x:v>
      </x:c>
      <x:c r="C2" s="117"/>
      <x:c r="D2" s="117"/>
      <x:c r="E2" s="117"/>
      <x:c r="F2" s="117"/>
      <x:c r="G2" s="117"/>
      <x:c r="H2" s="117"/>
      <x:c r="I2" s="117"/>
      <x:c r="J2" s="117"/>
    </x:row>
    <x:row r="3" ht="20" hidden="0" customHeight="1">
      <x:c r="A3" s="90"/>
      <x:c r="B3" s="118"/>
      <x:c r="C3" s="118"/>
      <x:c r="D3" s="118"/>
      <x:c r="E3" s="118"/>
      <x:c r="F3" s="118"/>
      <x:c r="G3" s="118"/>
      <x:c r="H3" s="118"/>
      <x:c r="I3" s="118"/>
      <x:c r="J3" s="118"/>
    </x:row>
    <x:row r="4" ht="20" hidden="0" customHeight="1">
      <x:c r="A4" s="88"/>
      <x:c r="B4" s="88"/>
      <x:c r="C4" s="88"/>
      <x:c r="D4" s="88"/>
      <x:c r="E4" s="88"/>
      <x:c r="F4" s="88"/>
      <x:c r="G4" s="88"/>
      <x:c r="H4" s="88"/>
      <x:c r="I4" s="88"/>
      <x:c r="J4" s="88"/>
    </x:row>
    <x:row r="5" ht="20" hidden="0" customHeight="1">
      <x:c r="A5" s="90"/>
      <x:c r="B5" s="90" t="str">
        <x:v>Offer premium</x:v>
      </x:c>
      <x:c r="C5" s="213" t="n">
        <x:f>'Assumptions'!C38</x:f>
        <x:v>0.25</x:v>
      </x:c>
      <x:c r="D5" s="90"/>
      <x:c r="E5" s="90"/>
      <x:c r="F5" s="90"/>
      <x:c r="G5" s="90"/>
      <x:c r="H5" s="90"/>
      <x:c r="I5" s="90"/>
      <x:c r="J5" s="90"/>
    </x:row>
    <x:row r="6" ht="20" hidden="0" customHeight="1">
      <x:c r="A6" s="90"/>
      <x:c r="B6" s="90" t="str">
        <x:v>Offer price per share</x:v>
      </x:c>
      <x:c r="C6" s="196" t="n">
        <x:f aca="0">'Assumptions'!C43*(1+C5)</x:f>
        <x:v>17.825</x:v>
      </x:c>
      <x:c r="D6" s="90"/>
      <x:c r="E6" s="90"/>
      <x:c r="F6" s="90"/>
      <x:c r="G6" s="90"/>
      <x:c r="H6" s="90"/>
      <x:c r="I6" s="90"/>
      <x:c r="J6" s="90"/>
    </x:row>
    <x:row r="7" ht="20" hidden="0" customHeight="1">
      <x:c r="A7" s="90"/>
      <x:c r="B7" s="90" t="str">
        <x:v>Parent equity purchase price</x:v>
      </x:c>
      <x:c r="C7" s="177" t="n">
        <x:f aca="0">C6*'Source Inputs'!C50</x:f>
        <x:v>2303.3999750000003</x:v>
      </x:c>
      <x:c r="D7" s="90"/>
      <x:c r="E7" s="90"/>
      <x:c r="F7" s="90"/>
      <x:c r="G7" s="90"/>
      <x:c r="H7" s="90"/>
      <x:c r="I7" s="90"/>
      <x:c r="J7" s="90"/>
    </x:row>
    <x:row r="8" ht="20" hidden="0" customHeight="1">
      <x:c r="A8" s="90"/>
      <x:c r="B8" s="90" t="str">
        <x:v>Net debt assumed / refinanced</x:v>
      </x:c>
      <x:c r="C8" s="177" t="n">
        <x:f aca="0">'Source Inputs'!C53</x:f>
        <x:v>3665.5000000000005</x:v>
      </x:c>
      <x:c r="D8" s="90"/>
      <x:c r="E8" s="90"/>
      <x:c r="F8" s="90"/>
      <x:c r="G8" s="90"/>
      <x:c r="H8" s="90"/>
      <x:c r="I8" s="90"/>
      <x:c r="J8" s="90"/>
    </x:row>
    <x:row r="9" ht="20" hidden="0" customHeight="1">
      <x:c r="A9" s="90"/>
      <x:c r="B9" s="88" t="str">
        <x:v>Parent enterprise purchase value</x:v>
      </x:c>
      <x:c r="C9" s="130" t="n">
        <x:f aca="0">C7+C8</x:f>
        <x:v>5968.899975</x:v>
      </x:c>
      <x:c r="D9" s="90"/>
      <x:c r="E9" s="90"/>
      <x:c r="F9" s="90"/>
      <x:c r="G9" s="90"/>
      <x:c r="H9" s="90"/>
      <x:c r="I9" s="90"/>
      <x:c r="J9" s="90"/>
    </x:row>
    <x:row r="10" ht="20" hidden="0" customHeight="1">
      <x:c r="A10" s="90"/>
      <x:c r="B10" s="90" t="str">
        <x:v>FY2026 company EBITDA planning anchor</x:v>
      </x:c>
      <x:c r="C10" s="177" t="n">
        <x:f aca="0">'Operating Forecast'!C43</x:f>
        <x:v>530</x:v>
      </x:c>
      <x:c r="D10" s="90"/>
      <x:c r="E10" s="90"/>
      <x:c r="F10" s="90"/>
      <x:c r="G10" s="90"/>
      <x:c r="H10" s="90"/>
      <x:c r="I10" s="90"/>
      <x:c r="J10" s="90"/>
    </x:row>
    <x:row r="11" ht="20" hidden="0" customHeight="1">
      <x:c r="A11" s="90"/>
      <x:c r="B11" s="88" t="str">
        <x:v>Entry EV / company EBITDA</x:v>
      </x:c>
      <x:c r="C11" s="230" t="n">
        <x:f aca="0">IF(C10&gt;0,C9/C10,0)</x:f>
        <x:v>11.262075424528302</x:v>
      </x:c>
      <x:c r="D11" s="90"/>
      <x:c r="E11" s="90"/>
      <x:c r="F11" s="90"/>
      <x:c r="G11" s="90"/>
      <x:c r="H11" s="90"/>
      <x:c r="I11" s="90"/>
      <x:c r="J11" s="90"/>
    </x:row>
    <x:row r="12" ht="20" hidden="0" customHeight="1">
      <x:c r="A12" s="90"/>
      <x:c r="B12" s="90"/>
      <x:c r="C12" s="90"/>
      <x:c r="D12" s="90"/>
      <x:c r="E12" s="90"/>
      <x:c r="F12" s="90"/>
      <x:c r="G12" s="90"/>
      <x:c r="H12" s="90"/>
      <x:c r="I12" s="90"/>
      <x:c r="J12" s="90"/>
    </x:row>
    <x:row r="13" ht="20" hidden="0" customHeight="1">
      <x:c r="A13" s="88"/>
      <x:c r="B13" s="88"/>
      <x:c r="C13" s="88"/>
      <x:c r="D13" s="88"/>
      <x:c r="E13" s="88"/>
      <x:c r="F13" s="88"/>
      <x:c r="G13" s="88"/>
      <x:c r="H13" s="88"/>
      <x:c r="I13" s="88"/>
      <x:c r="J13" s="88"/>
    </x:row>
    <x:row r="14" ht="20" hidden="0" customHeight="1">
      <x:c r="A14" s="90"/>
      <x:c r="B14" s="90" t="str">
        <x:v>Buyer leverage / company EBITDA</x:v>
      </x:c>
      <x:c r="C14" s="231" t="n">
        <x:f>'Assumptions'!C39</x:f>
        <x:v>5.5</x:v>
      </x:c>
      <x:c r="D14" s="90"/>
      <x:c r="E14" s="103"/>
      <x:c r="F14" s="90"/>
      <x:c r="G14" s="90"/>
      <x:c r="H14" s="90"/>
      <x:c r="I14" s="90"/>
      <x:c r="J14" s="90"/>
    </x:row>
    <x:row r="15" ht="20" hidden="0" customHeight="1">
      <x:c r="A15" s="90"/>
      <x:c r="B15" s="90" t="str">
        <x:v>New total funded debt at closing</x:v>
      </x:c>
      <x:c r="C15" s="127" t="n">
        <x:f aca="0">MAX(0,C14*C10)</x:f>
        <x:v>2915</x:v>
      </x:c>
      <x:c r="D15" s="90"/>
      <x:c r="E15" s="90"/>
      <x:c r="F15" s="90"/>
      <x:c r="G15" s="90"/>
      <x:c r="H15" s="90"/>
      <x:c r="I15" s="90"/>
      <x:c r="J15" s="90"/>
    </x:row>
    <x:row r="16" ht="20" hidden="0" customHeight="1">
      <x:c r="A16" s="90"/>
      <x:c r="B16" s="90" t="str">
        <x:v>Transaction fee rate</x:v>
      </x:c>
      <x:c r="C16" s="213" t="n">
        <x:f>'Assumptions'!C40</x:f>
        <x:v>0.02</x:v>
      </x:c>
      <x:c r="D16" s="90"/>
      <x:c r="E16" s="90"/>
      <x:c r="F16" s="90"/>
      <x:c r="G16" s="90"/>
      <x:c r="H16" s="90"/>
      <x:c r="I16" s="90"/>
      <x:c r="J16" s="90"/>
    </x:row>
    <x:row r="17" ht="20" hidden="0" customHeight="1">
      <x:c r="A17" s="90"/>
      <x:c r="B17" s="90" t="str">
        <x:v>Transaction fees</x:v>
      </x:c>
      <x:c r="C17" s="127" t="n">
        <x:f aca="0">MAX(0,C9)*C16</x:f>
        <x:v>119.3779995</x:v>
      </x:c>
      <x:c r="D17" s="90"/>
      <x:c r="E17" s="90"/>
      <x:c r="F17" s="90"/>
      <x:c r="G17" s="90"/>
      <x:c r="H17" s="90"/>
      <x:c r="I17" s="90"/>
      <x:c r="J17" s="90"/>
    </x:row>
    <x:row r="18" ht="20" hidden="0" customHeight="1">
      <x:c r="A18" s="90"/>
      <x:c r="B18" s="174" t="str">
        <x:v>Sponsor equity required</x:v>
      </x:c>
      <x:c r="C18" s="178" t="n">
        <x:f aca="0">C9+C17-C15</x:f>
        <x:v>3173.2779745000007</x:v>
      </x:c>
      <x:c r="D18" s="174"/>
      <x:c r="E18" s="174"/>
      <x:c r="F18" s="174"/>
      <x:c r="G18" s="174"/>
      <x:c r="H18" s="90"/>
      <x:c r="I18" s="90"/>
      <x:c r="J18" s="90"/>
    </x:row>
    <x:row r="19" ht="20" hidden="0" customHeight="1">
      <x:c r="A19" s="90"/>
      <x:c r="B19" s="90"/>
      <x:c r="C19" s="90"/>
      <x:c r="D19" s="90"/>
      <x:c r="E19" s="90"/>
      <x:c r="F19" s="90"/>
      <x:c r="G19" s="90"/>
      <x:c r="H19" s="90"/>
      <x:c r="I19" s="90"/>
      <x:c r="J19" s="90"/>
    </x:row>
    <x:row r="20" ht="20" hidden="0" customHeight="1">
      <x:c r="A20" s="88"/>
      <x:c r="B20" s="88"/>
      <x:c r="C20" s="88"/>
      <x:c r="D20" s="88"/>
      <x:c r="E20" s="88"/>
      <x:c r="F20" s="88"/>
      <x:c r="G20" s="88"/>
      <x:c r="H20" s="88"/>
      <x:c r="I20" s="88"/>
      <x:c r="J20" s="88"/>
    </x:row>
    <x:row r="21" ht="20" hidden="0" customHeight="1">
      <x:c r="A21" s="90"/>
      <x:c r="B21" s="88" t="str">
        <x:v>Fiscal period</x:v>
      </x:c>
      <x:c r="C21" s="239" t="str">
        <x:f>'Operating Forecast'!C5</x:f>
        <x:v>H2 2026E</x:v>
      </x:c>
      <x:c r="D21" s="239" t="str">
        <x:f>'Operating Forecast'!D5</x:f>
        <x:v>FY2027E</x:v>
      </x:c>
      <x:c r="E21" s="239" t="str">
        <x:f>'Operating Forecast'!E5</x:f>
        <x:v>FY2028E</x:v>
      </x:c>
      <x:c r="F21" s="239" t="str">
        <x:f>'Operating Forecast'!F5</x:f>
        <x:v>FY2029E</x:v>
      </x:c>
      <x:c r="G21" s="239" t="str">
        <x:f>'Operating Forecast'!G5</x:f>
        <x:v>FY2030E</x:v>
      </x:c>
      <x:c r="H21" s="90"/>
      <x:c r="I21" s="90"/>
      <x:c r="J21" s="90"/>
    </x:row>
    <x:row r="22" ht="20" hidden="0" customHeight="1">
      <x:c r="A22" s="90"/>
      <x:c r="B22" s="90" t="str">
        <x:v>Remaining cash flow before financing</x:v>
      </x:c>
      <x:c r="C22" s="177" t="n">
        <x:f aca="0">'DCF'!C17</x:f>
        <x:v>88.62489433606683</x:v>
      </x:c>
      <x:c r="D22" s="177" t="n">
        <x:f aca="0">'DCF'!D17</x:f>
        <x:v>232.97644179782026</x:v>
      </x:c>
      <x:c r="E22" s="177" t="n">
        <x:f aca="0">'DCF'!E17</x:f>
        <x:v>240.01233034011446</x:v>
      </x:c>
      <x:c r="F22" s="177" t="n">
        <x:f aca="0">'DCF'!F17</x:f>
        <x:v>247.26070271638594</x:v>
      </x:c>
      <x:c r="G22" s="177" t="n">
        <x:f aca="0">'DCF'!G17</x:f>
        <x:v>254.72797593842085</x:v>
      </x:c>
      <x:c r="H22" s="90"/>
      <x:c r="I22" s="90"/>
      <x:c r="J22" s="90"/>
    </x:row>
    <x:row r="23" ht="20" hidden="0" customHeight="1">
      <x:c r="A23" s="90"/>
      <x:c r="B23" s="90" t="str">
        <x:v>Beginning debt</x:v>
      </x:c>
      <x:c r="C23" s="127" t="n">
        <x:f aca="0">$C$15</x:f>
        <x:v>2915</x:v>
      </x:c>
      <x:c r="D23" s="127" t="n">
        <x:f aca="0">C29</x:f>
        <x:v>2878.677393335166</x:v>
      </x:c>
      <x:c r="E23" s="127" t="n">
        <x:f aca="0">D29</x:f>
        <x:v>2805.4675468674473</x:v>
      </x:c>
      <x:c r="F23" s="127" t="n">
        <x:f aca="0">E29</x:f>
        <x:v>2721.585250169849</x:v>
      </x:c>
      <x:c r="G23" s="127" t="n">
        <x:f aca="0">F29</x:f>
        <x:v>2625.37252883789</x:v>
      </x:c>
      <x:c r="H23" s="90"/>
      <x:c r="I23" s="90"/>
      <x:c r="J23" s="90"/>
    </x:row>
    <x:row r="24" ht="20" hidden="0" customHeight="1">
      <x:c r="A24" s="90"/>
      <x:c r="B24" s="90" t="str">
        <x:v>Cash interest</x:v>
      </x:c>
      <x:c r="C24" s="177" t="n">
        <x:f aca="0">-C23*'Assumptions'!F13*'DCF'!C13</x:f>
        <x:v>-70.67876712328767</x:v>
      </x:c>
      <x:c r="D24" s="177" t="n">
        <x:f aca="0">-D23*'Assumptions'!F13*('DCF'!D13-'DCF'!C13)</x:f>
        <x:v>-215.90080450013744</x:v>
      </x:c>
      <x:c r="E24" s="177" t="n">
        <x:f aca="0">-E23*'Assumptions'!F13*('DCF'!E13-'DCF'!D13)</x:f>
        <x:v>-210.98653194934633</x:v>
      </x:c>
      <x:c r="F24" s="177" t="n">
        <x:f aca="0">-F23*'Assumptions'!F13*('DCF'!F13-'DCF'!E13)</x:f>
        <x:v>-204.11889376273868</x:v>
      </x:c>
      <x:c r="G24" s="177" t="n">
        <x:f aca="0">-G23*'Assumptions'!F13*('DCF'!G13-'DCF'!F13)</x:f>
        <x:v>-196.90293966284185</x:v>
      </x:c>
      <x:c r="H24" s="90"/>
      <x:c r="I24" s="90"/>
      <x:c r="J24" s="90"/>
    </x:row>
    <x:row r="25" ht="20" hidden="0" customHeight="1">
      <x:c r="A25" s="90"/>
      <x:c r="B25" s="90" t="str">
        <x:v>Interest tax shield (limited by EBIT)</x:v>
      </x:c>
      <x:c r="C25" s="177" t="n">
        <x:f aca="0">MIN(-C24,MAX(0,'Operating Forecast'!C16*'DCF'!C15))*'Assumptions'!F14</x:f>
        <x:v>18.376479452054795</x:v>
      </x:c>
      <x:c r="D25" s="177" t="n">
        <x:f aca="0">MIN(-D24,MAX(0,'Operating Forecast'!D16*'DCF'!D15))*'Assumptions'!F14</x:f>
        <x:v>56.13420917003574</x:v>
      </x:c>
      <x:c r="E25" s="177" t="n">
        <x:f aca="0">MIN(-E24,MAX(0,'Operating Forecast'!E16*'DCF'!E15))*'Assumptions'!F14</x:f>
        <x:v>54.85649830683005</x:v>
      </x:c>
      <x:c r="F25" s="177" t="n">
        <x:f aca="0">MIN(-F24,MAX(0,'Operating Forecast'!F16*'DCF'!F15))*'Assumptions'!F14</x:f>
        <x:v>53.07091237831206</x:v>
      </x:c>
      <x:c r="G25" s="177" t="n">
        <x:f aca="0">MIN(-G24,MAX(0,'Operating Forecast'!G16*'DCF'!G15))*'Assumptions'!F14</x:f>
        <x:v>51.19476431233888</x:v>
      </x:c>
      <x:c r="H25" s="90"/>
      <x:c r="I25" s="90"/>
      <x:c r="J25" s="90"/>
    </x:row>
    <x:row r="26" ht="20" hidden="0" customHeight="1">
      <x:c r="A26" s="90"/>
      <x:c r="B26" s="88" t="str">
        <x:v>Cash available for debt reduction</x:v>
      </x:c>
      <x:c r="C26" s="130" t="n">
        <x:f aca="0">SUM(C22,C24:C25)</x:f>
        <x:v>36.322606664833955</x:v>
      </x:c>
      <x:c r="D26" s="130" t="n">
        <x:f aca="0">SUM(D22,D24:D25)</x:f>
        <x:v>73.20984646771856</x:v>
      </x:c>
      <x:c r="E26" s="130" t="n">
        <x:f aca="0">SUM(E22,E24:E25)</x:f>
        <x:v>83.88229669759818</x:v>
      </x:c>
      <x:c r="F26" s="130" t="n">
        <x:f aca="0">SUM(F22,F24:F25)</x:f>
        <x:v>96.2127213319593</x:v>
      </x:c>
      <x:c r="G26" s="130" t="n">
        <x:f aca="0">SUM(G22,G24:G25)</x:f>
        <x:v>109.0198005879179</x:v>
      </x:c>
      <x:c r="H26" s="90"/>
      <x:c r="I26" s="90"/>
      <x:c r="J26" s="90"/>
    </x:row>
    <x:row r="27" ht="20" hidden="0" customHeight="1">
      <x:c r="A27" s="90"/>
      <x:c r="B27" s="90" t="str">
        <x:v>Debt paydown</x:v>
      </x:c>
      <x:c r="C27" s="138" t="n">
        <x:f>MIN(C23,MAX(0,C26))</x:f>
        <x:v>36.322606664833955</x:v>
      </x:c>
      <x:c r="D27" s="138" t="n">
        <x:f>MIN(D23,MAX(0,D26))</x:f>
        <x:v>73.20984646771856</x:v>
      </x:c>
      <x:c r="E27" s="138" t="n">
        <x:f>MIN(E23,MAX(0,E26))</x:f>
        <x:v>83.88229669759818</x:v>
      </x:c>
      <x:c r="F27" s="138" t="n">
        <x:f>MIN(F23,MAX(0,F26))</x:f>
        <x:v>96.2127213319593</x:v>
      </x:c>
      <x:c r="G27" s="138" t="n">
        <x:f>MIN(G23,MAX(0,G26))</x:f>
        <x:v>109.0198005879179</x:v>
      </x:c>
      <x:c r="H27" s="90"/>
      <x:c r="I27" s="90"/>
      <x:c r="J27" s="90"/>
    </x:row>
    <x:row r="28" ht="20" hidden="0" customHeight="1">
      <x:c r="A28" s="88"/>
      <x:c r="B28" s="88" t="str">
        <x:v>New borrowing required</x:v>
      </x:c>
      <x:c r="C28" s="173" t="n">
        <x:f>MAX(0,-C26)</x:f>
        <x:v>0</x:v>
      </x:c>
      <x:c r="D28" s="173" t="n">
        <x:f>MAX(0,-D26)</x:f>
        <x:v>0</x:v>
      </x:c>
      <x:c r="E28" s="173" t="n">
        <x:f>MAX(0,-E26)</x:f>
        <x:v>0</x:v>
      </x:c>
      <x:c r="F28" s="173" t="n">
        <x:f>MAX(0,-F26)</x:f>
        <x:v>0</x:v>
      </x:c>
      <x:c r="G28" s="173" t="n">
        <x:f>MAX(0,-G26)</x:f>
        <x:v>0</x:v>
      </x:c>
      <x:c r="H28" s="88"/>
      <x:c r="I28" s="88"/>
      <x:c r="J28" s="88"/>
    </x:row>
    <x:row r="29" ht="20" hidden="0" customHeight="1">
      <x:c r="A29" s="90"/>
      <x:c r="B29" s="174" t="str">
        <x:v>Ending debt</x:v>
      </x:c>
      <x:c r="C29" s="178" t="n">
        <x:f>C23-C27+C28</x:f>
        <x:v>2878.677393335166</x:v>
      </x:c>
      <x:c r="D29" s="175" t="n">
        <x:f>D23-D27+D28</x:f>
        <x:v>2805.4675468674473</x:v>
      </x:c>
      <x:c r="E29" s="247" t="n">
        <x:f>E23-E27+E28</x:f>
        <x:v>2721.585250169849</x:v>
      </x:c>
      <x:c r="F29" s="175" t="n">
        <x:f>F23-F27+F28</x:f>
        <x:v>2625.37252883789</x:v>
      </x:c>
      <x:c r="G29" s="175" t="n">
        <x:f>G23-G27+G28</x:f>
        <x:v>2516.352728249972</x:v>
      </x:c>
      <x:c r="H29" s="90"/>
      <x:c r="I29" s="90"/>
      <x:c r="J29" s="90"/>
    </x:row>
    <x:row r="30" ht="20" hidden="0" customHeight="1">
      <x:c r="A30" s="90"/>
      <x:c r="B30" s="90" t="str">
        <x:v>Excess cash after debt repayment</x:v>
      </x:c>
      <x:c r="C30" s="127" t="n">
        <x:f aca="0">MAX(0,C26-C27)</x:f>
        <x:v>0</x:v>
      </x:c>
      <x:c r="D30" s="138" t="n">
        <x:f>MAX(0,D26-D27)</x:f>
        <x:v>0</x:v>
      </x:c>
      <x:c r="E30" s="138" t="n">
        <x:f>MAX(0,E26-E27)</x:f>
        <x:v>0</x:v>
      </x:c>
      <x:c r="F30" s="138" t="n">
        <x:f>MAX(0,F26-F27)</x:f>
        <x:v>0</x:v>
      </x:c>
      <x:c r="G30" s="138" t="n">
        <x:f>MAX(0,G26-G27)</x:f>
        <x:v>0</x:v>
      </x:c>
      <x:c r="H30" s="90"/>
      <x:c r="I30" s="90"/>
      <x:c r="J30" s="90"/>
    </x:row>
    <x:row r="31" ht="20" hidden="0" customHeight="1">
      <x:c r="A31" s="90"/>
      <x:c r="B31" s="90" t="str">
        <x:v>Cumulative excess cash</x:v>
      </x:c>
      <x:c r="C31" s="127" t="n">
        <x:f aca="0">C30</x:f>
        <x:v>0</x:v>
      </x:c>
      <x:c r="D31" s="138" t="n">
        <x:f>C31+D30</x:f>
        <x:v>0</x:v>
      </x:c>
      <x:c r="E31" s="138" t="n">
        <x:f>D31+E30</x:f>
        <x:v>0</x:v>
      </x:c>
      <x:c r="F31" s="138" t="n">
        <x:f>E31+F30</x:f>
        <x:v>0</x:v>
      </x:c>
      <x:c r="G31" s="138" t="n">
        <x:f>F31+G30</x:f>
        <x:v>0</x:v>
      </x:c>
      <x:c r="H31" s="90"/>
      <x:c r="I31" s="90"/>
      <x:c r="J31" s="90"/>
    </x:row>
    <x:row r="32" ht="20" hidden="0" customHeight="1">
      <x:c r="A32" s="90"/>
      <x:c r="B32" s="88"/>
      <x:c r="C32" s="97">
        <x:f aca="0"/>
      </x:c>
      <x:c r="D32" s="90"/>
      <x:c r="E32" s="90"/>
      <x:c r="F32" s="90"/>
      <x:c r="G32" s="90"/>
      <x:c r="H32" s="90"/>
      <x:c r="I32" s="90"/>
      <x:c r="J32" s="90"/>
    </x:row>
    <x:row r="33" ht="20" hidden="0" customHeight="1">
      <x:c r="A33" s="90"/>
      <x:c r="B33" s="88" t="str">
        <x:v>Exit parent economic EBITDA</x:v>
      </x:c>
      <x:c r="C33" s="194" t="n">
        <x:f aca="0">'DCF'!C40</x:f>
        <x:v>448.25390524886166</x:v>
      </x:c>
      <x:c r="D33" s="90"/>
      <x:c r="E33" s="90"/>
      <x:c r="F33" s="90"/>
      <x:c r="G33" s="90"/>
      <x:c r="H33" s="90"/>
      <x:c r="I33" s="90"/>
      <x:c r="J33" s="90"/>
    </x:row>
    <x:row r="34" ht="20" hidden="0" customHeight="1">
      <x:c r="A34" s="90"/>
      <x:c r="B34" s="88" t="str">
        <x:v>Exit multiple assumption</x:v>
      </x:c>
      <x:c r="C34" s="242" t="n">
        <x:f aca="0">'Assumptions'!C30</x:f>
        <x:v>9</x:v>
      </x:c>
      <x:c r="D34" s="90"/>
      <x:c r="E34" s="90"/>
      <x:c r="F34" s="90"/>
      <x:c r="G34" s="90"/>
      <x:c r="H34" s="90"/>
      <x:c r="I34" s="90"/>
      <x:c r="J34" s="90"/>
    </x:row>
    <x:row r="35" ht="20" hidden="0" customHeight="1">
      <x:c r="A35" s="90"/>
      <x:c r="B35" s="90" t="str">
        <x:v>Exit parent enterprise value</x:v>
      </x:c>
      <x:c r="C35" s="138" t="n">
        <x:f>C33*C34</x:f>
        <x:v>4034.285147239755</x:v>
      </x:c>
      <x:c r="D35" s="90"/>
      <x:c r="E35" s="90"/>
      <x:c r="F35" s="90"/>
      <x:c r="G35" s="90"/>
      <x:c r="H35" s="90"/>
      <x:c r="I35" s="90"/>
      <x:c r="J35" s="90"/>
    </x:row>
    <x:row r="36" ht="20" hidden="0" customHeight="1">
      <x:c r="A36" s="88"/>
      <x:c r="B36" s="174" t="str">
        <x:v>Exit equity proceeds</x:v>
      </x:c>
      <x:c r="C36" s="175" t="n">
        <x:f>MAX(0,C35-G29+G31)</x:f>
        <x:v>1517.932418989783</x:v>
      </x:c>
      <x:c r="D36" s="174"/>
      <x:c r="E36" s="174"/>
      <x:c r="F36" s="174"/>
      <x:c r="G36" s="174"/>
      <x:c r="H36" s="88"/>
      <x:c r="I36" s="88"/>
      <x:c r="J36" s="88"/>
    </x:row>
    <x:row r="37" ht="20" hidden="0" customHeight="1">
      <x:c r="A37" s="90"/>
      <x:c r="B37" s="90" t="str">
        <x:v>Sponsor money multiple</x:v>
      </x:c>
      <x:c r="C37" s="146" t="n">
        <x:f>IF(C18&gt;0,C36/C18,0)</x:f>
        <x:v>0.4783483927937189</x:v>
      </x:c>
      <x:c r="D37" s="90"/>
      <x:c r="E37" s="90"/>
      <x:c r="F37" s="90"/>
      <x:c r="G37" s="90"/>
      <x:c r="H37" s="90"/>
      <x:c r="I37" s="90"/>
      <x:c r="J37" s="90"/>
    </x:row>
    <x:row r="38" ht="20" hidden="0" customHeight="1">
      <x:c r="A38" s="90"/>
      <x:c r="B38" s="174" t="str">
        <x:v>Annualized sponsor return</x:v>
      </x:c>
      <x:c r="C38" s="248" t="n">
        <x:f aca="0">IF(AND(C18&gt;0,C41&gt;0),C37^(1/C41)-1,0)</x:f>
        <x:v>-0.15672343857303594</x:v>
      </x:c>
      <x:c r="D38" s="174"/>
      <x:c r="E38" s="174"/>
      <x:c r="F38" s="174"/>
      <x:c r="G38" s="174"/>
      <x:c r="H38" s="90"/>
      <x:c r="I38" s="90"/>
      <x:c r="J38" s="90"/>
    </x:row>
    <x:row r="39" ht="20" hidden="0" customHeight="1">
      <x:c r="A39" s="90"/>
      <x:c r="B39" s="90"/>
      <x:c r="C39" s="106">
        <x:f aca="0"/>
      </x:c>
      <x:c r="D39" s="90"/>
      <x:c r="E39" s="90"/>
      <x:c r="F39" s="90"/>
      <x:c r="G39" s="90"/>
      <x:c r="H39" s="90"/>
      <x:c r="I39" s="90"/>
      <x:c r="J39" s="90"/>
    </x:row>
    <x:row r="40" ht="20" hidden="0" customHeight="1">
      <x:c r="A40" s="90"/>
      <x:c r="B40" s="88" t="str">
        <x:v>Target annual return</x:v>
      </x:c>
      <x:c r="C40" s="193" t="n">
        <x:f aca="0">'Assumptions'!C41</x:f>
        <x:v>0.2</x:v>
      </x:c>
      <x:c r="D40" s="90"/>
      <x:c r="E40" s="103"/>
      <x:c r="F40" s="90"/>
      <x:c r="G40" s="90"/>
      <x:c r="H40" s="90"/>
      <x:c r="I40" s="90"/>
      <x:c r="J40" s="90"/>
    </x:row>
    <x:row r="41" ht="20" hidden="0" customHeight="1">
      <x:c r="A41" s="90"/>
      <x:c r="B41" s="90" t="str">
        <x:v>Hold length in years</x:v>
      </x:c>
      <x:c r="C41" s="219" t="n">
        <x:f>'DCF'!G13</x:f>
        <x:v>4.326027397260274</x:v>
      </x:c>
      <x:c r="D41" s="90"/>
      <x:c r="E41" s="90"/>
      <x:c r="F41" s="90"/>
      <x:c r="G41" s="90"/>
      <x:c r="H41" s="90"/>
      <x:c r="I41" s="90"/>
      <x:c r="J41" s="90"/>
    </x:row>
    <x:row r="42" ht="20" hidden="0" customHeight="1">
      <x:c r="A42" s="90"/>
      <x:c r="B42" s="103" t="str">
        <x:v>Maximum sponsor equity at hurdle</x:v>
      </x:c>
      <x:c r="C42" s="138" t="n">
        <x:f>C36/(1+C40)^C41</x:f>
        <x:v>689.7825392380136</x:v>
      </x:c>
      <x:c r="D42" s="90"/>
      <x:c r="E42" s="90"/>
      <x:c r="F42" s="90"/>
      <x:c r="G42" s="90"/>
      <x:c r="H42" s="90"/>
      <x:c r="I42" s="90"/>
      <x:c r="J42" s="90"/>
    </x:row>
    <x:row r="43" ht="20" hidden="0" customHeight="1">
      <x:c r="A43" s="90"/>
      <x:c r="B43" s="90" t="str">
        <x:v>Maximum parent enterprise purchase value</x:v>
      </x:c>
      <x:c r="C43" s="138" t="n">
        <x:f>(C42+C15)/(1+C16)</x:f>
        <x:v>3534.100528664719</x:v>
      </x:c>
      <x:c r="D43" s="90"/>
      <x:c r="E43" s="90"/>
      <x:c r="F43" s="90"/>
      <x:c r="G43" s="90"/>
      <x:c r="H43" s="90"/>
      <x:c r="I43" s="90"/>
      <x:c r="J43" s="90"/>
    </x:row>
    <x:row r="44" ht="20" hidden="0" customHeight="1">
      <x:c r="A44" s="90"/>
      <x:c r="B44" s="174" t="str">
        <x:v>Maximum price per share</x:v>
      </x:c>
      <x:c r="C44" s="250" t="n">
        <x:f>IF('Source Inputs'!C50&gt;0,MAX(0,C43-C8)/'Source Inputs'!C50,0)</x:f>
        <x:v>0</x:v>
      </x:c>
      <x:c r="D44" s="174"/>
      <x:c r="E44" s="174"/>
      <x:c r="F44" s="174"/>
      <x:c r="G44" s="174"/>
      <x:c r="H44" s="90"/>
      <x:c r="I44" s="90"/>
      <x:c r="J44" s="90"/>
    </x:row>
    <x:row r="45" ht="20" hidden="0" customHeight="1">
      <x:c r="A45" s="90"/>
      <x:c r="B45" s="90"/>
      <x:c r="C45" s="90"/>
      <x:c r="D45" s="90"/>
      <x:c r="E45" s="90"/>
      <x:c r="F45" s="90"/>
      <x:c r="G45" s="90"/>
      <x:c r="H45" s="90"/>
      <x:c r="I45" s="90"/>
      <x:c r="J45" s="90"/>
    </x:row>
    <x:row r="46" ht="20" hidden="0" customHeight="1">
      <x:c r="A46" s="90"/>
      <x:c r="B46" s="90" t="str">
        <x:v>Financing capacity assumption</x:v>
      </x:c>
      <x:c r="C46" s="245" t="str">
        <x:f>IF(SUM(C28:G28)&gt;0,"ADDITIONAL FUNDING REQUIRED","WITHIN ASSUMED FUNDING")</x:f>
        <x:v>WITHIN ASSUMED FUNDING</x:v>
      </x:c>
      <x:c r="D46" s="90"/>
      <x:c r="E46" s="90"/>
      <x:c r="F46" s="90"/>
      <x:c r="G46" s="90"/>
      <x:c r="H46" s="90"/>
      <x:c r="I46" s="90"/>
      <x:c r="J46" s="90"/>
    </x:row>
    <x:row r="47" ht="20" hidden="0" customHeight="1">
      <x:c r="A47" s="90"/>
      <x:c r="B47" s="90" t="str">
        <x:v>Debt roll-forward tie</x:v>
      </x:c>
      <x:c r="C47" s="138" t="n">
        <x:f>C29-C23+C27-C28</x:f>
        <x:v>-2.842170943040401e-14</x:v>
      </x:c>
      <x:c r="D47" s="138" t="n">
        <x:f>D29-D23+D27-D28</x:f>
        <x:v>-1.9895196601282805e-13</x:v>
      </x:c>
      <x:c r="E47" s="138" t="n">
        <x:f>E29-E23+E27-E28</x:f>
        <x:v>5.684341886080802e-14</x:v>
      </x:c>
      <x:c r="F47" s="138" t="n">
        <x:f>F29-F23+F27-F28</x:f>
        <x:v>2.2737367544323206e-13</x:v>
      </x:c>
      <x:c r="G47" s="138" t="n">
        <x:f>G29-G23+G27-G28</x:f>
        <x:v>2.842170943040401e-14</x:v>
      </x:c>
      <x:c r="H47" s="90"/>
      <x:c r="I47" s="90"/>
      <x:c r="J47" s="90"/>
    </x:row>
    <x:row r="48" ht="20" hidden="0" customHeight="1">
      <x:c r="A48" s="90"/>
      <x:c r="B48" s="90"/>
      <x:c r="C48" s="90"/>
      <x:c r="D48" s="90"/>
      <x:c r="E48" s="90"/>
      <x:c r="F48" s="90"/>
      <x:c r="G48" s="90"/>
      <x:c r="H48" s="90"/>
      <x:c r="I48" s="90"/>
      <x:c r="J48" s="90"/>
    </x:row>
    <x:row r="49" ht="20" hidden="0" customHeight="1">
      <x:c r="A49" s="90"/>
      <x:c r="B49" s="90"/>
      <x:c r="C49" s="90"/>
      <x:c r="D49" s="90"/>
      <x:c r="E49" s="90"/>
      <x:c r="F49" s="90"/>
      <x:c r="G49" s="90"/>
      <x:c r="H49" s="90"/>
      <x:c r="I49" s="90"/>
      <x:c r="J49" s="90"/>
    </x:row>
    <x:row r="50" ht="20" hidden="0" customHeight="1">
      <x:c r="A50" s="90"/>
      <x:c r="B50" s="118" t="str">
        <x:v>The offer and buyer ceiling are separate decisions. The ceiling solves the entry fee equation at the target return. Debt cannot disappear: cash first services financing, then repays debt; a shortfall becomes a visible funding requirement. Surplus cash accumulates after debt reaches zero.</x:v>
      </x:c>
      <x:c r="C50" s="118"/>
      <x:c r="D50" s="118"/>
      <x:c r="E50" s="118"/>
      <x:c r="F50" s="118"/>
      <x:c r="G50" s="118"/>
      <x:c r="H50" s="118"/>
      <x:c r="I50" s="118"/>
      <x:c r="J50" s="118"/>
    </x:row>
    <x:row r="51" ht="20" hidden="0" customHeight="1">
      <x:c r="A51" s="90"/>
      <x:c r="B51" s="118"/>
      <x:c r="C51" s="118"/>
      <x:c r="D51" s="118"/>
      <x:c r="E51" s="118"/>
      <x:c r="F51" s="118"/>
      <x:c r="G51" s="118"/>
      <x:c r="H51" s="118"/>
      <x:c r="I51" s="118"/>
      <x:c r="J51" s="118"/>
    </x:row>
    <x:row r="52" ht="20" hidden="0" customHeight="1">
      <x:c r="A52" s="90"/>
      <x:c r="B52" s="118"/>
      <x:c r="C52" s="118"/>
      <x:c r="D52" s="118"/>
      <x:c r="E52" s="118"/>
      <x:c r="F52" s="118"/>
      <x:c r="G52" s="118"/>
      <x:c r="H52" s="118"/>
      <x:c r="I52" s="118"/>
      <x:c r="J52" s="118"/>
    </x:row>
    <x:row r="53" ht="20" hidden="0" customHeight="1">
      <x:c r="A53" s="90"/>
      <x:c r="B53" s="118"/>
      <x:c r="C53" s="118"/>
      <x:c r="D53" s="118"/>
      <x:c r="E53" s="118"/>
      <x:c r="F53" s="118"/>
      <x:c r="G53" s="118"/>
      <x:c r="H53" s="118"/>
      <x:c r="I53" s="118"/>
      <x:c r="J53" s="118"/>
    </x:row>
    <x:row r="54" ht="20" hidden="0" customHeight="1">
      <x:c r="A54" s="90"/>
      <x:c r="B54" s="90"/>
      <x:c r="C54" s="90"/>
      <x:c r="D54" s="90"/>
      <x:c r="E54" s="90"/>
      <x:c r="F54" s="90"/>
      <x:c r="G54" s="90"/>
      <x:c r="H54" s="90"/>
      <x:c r="I54" s="90"/>
      <x:c r="J54" s="90"/>
    </x:row>
    <x:row r="55" ht="20" hidden="0" customHeight="1">
      <x:c r="A55" s="90"/>
      <x:c r="B55" s="90"/>
      <x:c r="C55" s="90"/>
      <x:c r="D55" s="90"/>
      <x:c r="E55" s="90"/>
      <x:c r="F55" s="90"/>
      <x:c r="G55" s="90"/>
      <x:c r="H55" s="90"/>
      <x:c r="I55" s="90"/>
      <x:c r="J55" s="90"/>
    </x:row>
    <x:row r="56" ht="20" hidden="0" customHeight="1">
      <x:c r="A56" s="90"/>
      <x:c r="B56" s="118" t="str">
        <x:v>This is a September 4, 2026 entry to December 31, 2030 exit, not a five-year hold. Both the remaining H2 cash flow and debt interest reflect that timing. NCI is retained at entry and exit; physician distributions remain in operating cash flow.</x:v>
      </x:c>
      <x:c r="C56" s="118"/>
      <x:c r="D56" s="118"/>
      <x:c r="E56" s="118"/>
      <x:c r="F56" s="118"/>
      <x:c r="G56" s="118"/>
      <x:c r="H56" s="118"/>
      <x:c r="I56" s="118"/>
      <x:c r="J56" s="118"/>
    </x:row>
    <x:row r="57" ht="20" hidden="0" customHeight="1">
      <x:c r="A57" s="90"/>
      <x:c r="B57" s="118"/>
      <x:c r="C57" s="118"/>
      <x:c r="D57" s="118"/>
      <x:c r="E57" s="118"/>
      <x:c r="F57" s="118"/>
      <x:c r="G57" s="118"/>
      <x:c r="H57" s="118"/>
      <x:c r="I57" s="118"/>
      <x:c r="J57" s="118"/>
    </x:row>
    <x:row r="58" ht="20" hidden="0" customHeight="1">
      <x:c r="A58" s="90"/>
      <x:c r="B58" s="118"/>
      <x:c r="C58" s="118"/>
      <x:c r="D58" s="118"/>
      <x:c r="E58" s="118"/>
      <x:c r="F58" s="118"/>
      <x:c r="G58" s="118"/>
      <x:c r="H58" s="118"/>
      <x:c r="I58" s="118"/>
      <x:c r="J58" s="118"/>
    </x:row>
    <x:row r="59" ht="20" hidden="0" customHeight="1">
      <x:c r="A59" s="90"/>
      <x:c r="B59" s="90"/>
      <x:c r="C59" s="90"/>
      <x:c r="D59" s="90"/>
      <x:c r="E59" s="90"/>
      <x:c r="F59" s="90"/>
      <x:c r="G59" s="90"/>
      <x:c r="H59" s="90"/>
      <x:c r="I59" s="90"/>
      <x:c r="J59" s="90"/>
    </x:row>
    <x:row r="60" ht="20" hidden="0" customHeight="1">
      <x:c r="A60" s="90"/>
      <x:c r="B60" s="90"/>
      <x:c r="C60" s="90"/>
      <x:c r="D60" s="90"/>
      <x:c r="E60" s="90"/>
      <x:c r="F60" s="90"/>
      <x:c r="G60" s="90"/>
      <x:c r="H60" s="90"/>
      <x:c r="I60" s="90"/>
      <x:c r="J60" s="90"/>
    </x:row>
    <x:row r="61" ht="20" hidden="0" customHeight="1">
      <x:c r="A61" s="90"/>
      <x:c r="B61" s="118" t="str">
        <x:v>Financing is an assumption, not a commitment. A strong base case cannot offset a downside that requires unavailable funding. Preserve physician relationships and case volumes when setting cost savings and price ceilings.</x:v>
      </x:c>
      <x:c r="C61" s="118"/>
      <x:c r="D61" s="118"/>
      <x:c r="E61" s="118"/>
      <x:c r="F61" s="118"/>
      <x:c r="G61" s="118"/>
      <x:c r="H61" s="118"/>
      <x:c r="I61" s="118"/>
      <x:c r="J61" s="118"/>
    </x:row>
    <x:row r="62" ht="20" hidden="0" customHeight="1">
      <x:c r="A62" s="90"/>
      <x:c r="B62" s="118"/>
      <x:c r="C62" s="118"/>
      <x:c r="D62" s="118"/>
      <x:c r="E62" s="118"/>
      <x:c r="F62" s="118"/>
      <x:c r="G62" s="118"/>
      <x:c r="H62" s="118"/>
      <x:c r="I62" s="118"/>
      <x:c r="J62" s="118"/>
    </x:row>
    <x:row r="63" ht="20" hidden="0" customHeight="1">
      <x:c r="A63" s="90"/>
      <x:c r="B63" s="118"/>
      <x:c r="C63" s="118"/>
      <x:c r="D63" s="118"/>
      <x:c r="E63" s="118"/>
      <x:c r="F63" s="118"/>
      <x:c r="G63" s="118"/>
      <x:c r="H63" s="118"/>
      <x:c r="I63" s="118"/>
      <x:c r="J63" s="118"/>
    </x:row>
    <x:row r="64" ht="20" hidden="0" customHeight="1">
      <x:c r="A64" s="90"/>
      <x:c r="B64" s="90"/>
      <x:c r="C64" s="90"/>
      <x:c r="D64" s="90"/>
      <x:c r="E64" s="90"/>
      <x:c r="F64" s="90"/>
      <x:c r="G64" s="90"/>
      <x:c r="H64" s="90"/>
      <x:c r="I64" s="90"/>
      <x:c r="J64" s="90"/>
    </x:row>
    <x:row r="65" ht="20" hidden="0" customHeight="1">
      <x:c r="A65" s="90"/>
      <x:c r="B65" s="90"/>
      <x:c r="C65" s="90"/>
      <x:c r="D65" s="90"/>
      <x:c r="E65" s="90"/>
      <x:c r="F65" s="90"/>
      <x:c r="G65" s="90"/>
      <x:c r="H65" s="90"/>
      <x:c r="I65" s="90"/>
      <x:c r="J65" s="90"/>
    </x:row>
    <x:row r="66" ht="20" hidden="0" customHeight="1">
      <x:c r="A66" s="90"/>
      <x:c r="B66" s="90"/>
      <x:c r="C66" s="90"/>
      <x:c r="D66" s="90"/>
      <x:c r="E66" s="90"/>
      <x:c r="F66" s="90"/>
      <x:c r="G66" s="90"/>
      <x:c r="H66" s="90"/>
      <x:c r="I66" s="90"/>
      <x:c r="J66" s="90"/>
    </x:row>
    <x:row r="67" ht="20" hidden="0" customHeight="1">
      <x:c r="A67" s="90"/>
      <x:c r="B67" s="90"/>
      <x:c r="C67" s="90"/>
      <x:c r="D67" s="90"/>
      <x:c r="E67" s="90"/>
      <x:c r="F67" s="90"/>
      <x:c r="G67" s="90"/>
      <x:c r="H67" s="90"/>
      <x:c r="I67" s="90"/>
      <x:c r="J67" s="90"/>
    </x:row>
    <x:row r="68" ht="20" hidden="0" customHeight="1">
      <x:c r="A68" s="90"/>
      <x:c r="B68" s="90"/>
      <x:c r="C68" s="90"/>
      <x:c r="D68" s="90"/>
      <x:c r="E68" s="90"/>
      <x:c r="F68" s="90"/>
      <x:c r="G68" s="90"/>
      <x:c r="H68" s="90"/>
      <x:c r="I68" s="90"/>
      <x:c r="J68" s="90"/>
    </x:row>
    <x:row r="69" ht="20" hidden="0" customHeight="1">
      <x:c r="A69" s="90"/>
      <x:c r="B69" s="90"/>
      <x:c r="C69" s="90"/>
      <x:c r="D69" s="90"/>
      <x:c r="E69" s="90"/>
      <x:c r="F69" s="90"/>
      <x:c r="G69" s="90"/>
      <x:c r="H69" s="90"/>
      <x:c r="I69" s="90"/>
      <x:c r="J69" s="90"/>
    </x:row>
    <x:row r="70" ht="20" hidden="0" customHeight="1">
      <x:c r="A70" s="90"/>
      <x:c r="B70" s="90"/>
      <x:c r="C70" s="90"/>
      <x:c r="D70" s="90"/>
      <x:c r="E70" s="90"/>
      <x:c r="F70" s="90"/>
      <x:c r="G70" s="90"/>
      <x:c r="H70" s="90"/>
      <x:c r="I70" s="90"/>
      <x:c r="J70" s="90"/>
    </x:row>
    <x:row r="71" ht="20" hidden="0" customHeight="1">
      <x:c r="A71" s="90"/>
      <x:c r="B71" s="90"/>
      <x:c r="C71" s="90"/>
      <x:c r="D71" s="90"/>
      <x:c r="E71" s="90"/>
      <x:c r="F71" s="90"/>
      <x:c r="G71" s="90"/>
      <x:c r="H71" s="90"/>
      <x:c r="I71" s="90"/>
      <x:c r="J71" s="90"/>
    </x:row>
    <x:row r="72" ht="20" hidden="0" customHeight="1">
      <x:c r="A72" s="90"/>
      <x:c r="B72" s="90"/>
      <x:c r="C72" s="90"/>
      <x:c r="D72" s="90"/>
      <x:c r="E72" s="90"/>
      <x:c r="F72" s="90"/>
      <x:c r="G72" s="90"/>
      <x:c r="H72" s="90"/>
      <x:c r="I72" s="90"/>
      <x:c r="J72" s="90"/>
    </x:row>
    <x:row r="73" ht="20" hidden="0" customHeight="1">
      <x:c r="A73" s="90"/>
      <x:c r="B73" s="90"/>
      <x:c r="C73" s="90"/>
      <x:c r="D73" s="90"/>
      <x:c r="E73" s="90"/>
      <x:c r="F73" s="90"/>
      <x:c r="G73" s="90"/>
      <x:c r="H73" s="90"/>
      <x:c r="I73" s="90"/>
      <x:c r="J73" s="90"/>
    </x:row>
    <x:row r="74" ht="20" hidden="0" customHeight="1">
      <x:c r="A74" s="90"/>
      <x:c r="B74" s="90"/>
      <x:c r="C74" s="90"/>
      <x:c r="D74" s="90"/>
      <x:c r="E74" s="90"/>
      <x:c r="F74" s="90"/>
      <x:c r="G74" s="90"/>
      <x:c r="H74" s="90"/>
      <x:c r="I74" s="90"/>
      <x:c r="J74" s="90"/>
    </x:row>
    <x:row r="75" ht="20" hidden="0" customHeight="1">
      <x:c r="A75" s="90"/>
      <x:c r="B75" s="90"/>
      <x:c r="C75" s="90"/>
      <x:c r="D75" s="90"/>
      <x:c r="E75" s="90"/>
      <x:c r="F75" s="90"/>
      <x:c r="G75" s="90"/>
      <x:c r="H75" s="90"/>
      <x:c r="I75" s="90"/>
      <x:c r="J75" s="90"/>
    </x:row>
    <x:row r="76" ht="15" hidden="0">
      <x:c r="A76" s="2"/>
      <x:c r="B76" s="2"/>
      <x:c r="C76" s="2"/>
      <x:c r="D76" s="2"/>
      <x:c r="E76" s="2"/>
      <x:c r="F76" s="2"/>
      <x:c r="G76" s="2"/>
      <x:c r="H76" s="2"/>
      <x:c r="I76" s="2"/>
      <x:c r="J76" s="2"/>
    </x:row>
    <x:row r="77" ht="15" hidden="0">
      <x:c r="A77" s="2"/>
      <x:c r="B77" s="2"/>
      <x:c r="C77" s="2"/>
      <x:c r="D77" s="2"/>
      <x:c r="E77" s="2"/>
      <x:c r="F77" s="2"/>
      <x:c r="G77" s="2"/>
      <x:c r="H77" s="2"/>
      <x:c r="I77" s="2"/>
      <x:c r="J77" s="2"/>
    </x:row>
    <x:row r="78" ht="15" hidden="0">
      <x:c r="A78" s="2"/>
      <x:c r="B78" s="2"/>
      <x:c r="C78" s="2"/>
      <x:c r="D78" s="2"/>
      <x:c r="E78" s="2"/>
      <x:c r="F78" s="2"/>
      <x:c r="G78" s="2"/>
      <x:c r="H78" s="2"/>
      <x:c r="I78" s="2"/>
      <x:c r="J78" s="2"/>
    </x:row>
    <x:row r="79" ht="15" hidden="0">
      <x:c r="A79" s="2"/>
      <x:c r="B79" s="2"/>
      <x:c r="C79" s="2"/>
      <x:c r="D79" s="2"/>
      <x:c r="E79" s="2"/>
      <x:c r="F79" s="2"/>
      <x:c r="G79" s="2"/>
      <x:c r="H79" s="2"/>
      <x:c r="I79" s="2"/>
      <x:c r="J79" s="2"/>
    </x:row>
    <x:row r="80" ht="15" hidden="0">
      <x:c r="A80" s="2"/>
      <x:c r="B80" s="2"/>
      <x:c r="C80" s="2"/>
      <x:c r="D80" s="2"/>
      <x:c r="E80" s="2"/>
      <x:c r="F80" s="2"/>
      <x:c r="G80" s="2"/>
      <x:c r="H80" s="2"/>
      <x:c r="I80" s="2"/>
      <x:c r="J80" s="2"/>
    </x:row>
  </x:sheetData>
  <x:mergeCells>
    <x:mergeCell ref="A1:J1"/>
    <x:mergeCell ref="B2:J3"/>
    <x:mergeCell ref="C46:G46"/>
    <x:mergeCell ref="B50:J53"/>
    <x:mergeCell ref="B56:J58"/>
    <x:mergeCell ref="B61:J63"/>
  </x:mergeCells>
  <x:pageMargins left="0.7" right="0.7" top="0.75" bottom="0.75" header="0.3" footer="0.3"/>
</x:worksheet>
</file>

<file path=xl/worksheets/sheet12.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7" width="12"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VALUATION SENSITIVITIES</x:v>
      </x:c>
      <x:c r="B1" s="113"/>
      <x:c r="C1" s="113"/>
      <x:c r="D1" s="113"/>
      <x:c r="E1" s="113"/>
      <x:c r="F1" s="113"/>
      <x:c r="G1" s="113"/>
      <x:c r="H1" s="113"/>
      <x:c r="I1" s="113"/>
      <x:c r="J1" s="113"/>
      <x:c r="K1" s="2"/>
      <x:c r="L1" s="2"/>
    </x:row>
    <x:row r="2" ht="20" hidden="0" customHeight="1">
      <x:c r="A2" s="103"/>
      <x:c r="B2" s="117" t="str">
        <x:v>Per diluted share. Each cell recalculates discounting, terminal cash flow and the equity bridge.</x:v>
      </x:c>
      <x:c r="C2" s="117"/>
      <x:c r="D2" s="117"/>
      <x:c r="E2" s="117"/>
      <x:c r="F2" s="117"/>
      <x:c r="G2" s="117"/>
      <x:c r="H2" s="117"/>
      <x:c r="I2" s="117"/>
      <x:c r="J2" s="117"/>
      <x:c r="K2" s="2"/>
      <x:c r="L2" s="2"/>
    </x:row>
    <x:row r="3" ht="20" hidden="0" customHeight="1">
      <x:c r="A3" s="90"/>
      <x:c r="B3" s="118"/>
      <x:c r="C3" s="118"/>
      <x:c r="D3" s="118"/>
      <x:c r="E3" s="118"/>
      <x:c r="F3" s="118"/>
      <x:c r="G3" s="118"/>
      <x:c r="H3" s="118"/>
      <x:c r="I3" s="118"/>
      <x:c r="J3" s="118"/>
      <x:c r="K3" s="2"/>
      <x:c r="L3" s="2"/>
    </x:row>
    <x:row r="4" ht="20" hidden="0" customHeight="1">
      <x:c r="A4" s="88"/>
      <x:c r="B4" s="88"/>
      <x:c r="C4" s="88"/>
      <x:c r="D4" s="88"/>
      <x:c r="E4" s="88"/>
      <x:c r="F4" s="88"/>
      <x:c r="G4" s="88"/>
      <x:c r="H4" s="88"/>
      <x:c r="I4" s="88"/>
      <x:c r="J4" s="88"/>
      <x:c r="K4" s="2"/>
      <x:c r="L4" s="2"/>
    </x:row>
    <x:row r="5" ht="20" hidden="0" customHeight="1">
      <x:c r="A5" s="90"/>
      <x:c r="B5" s="92" t="str">
        <x:v>WACC / terminal growth</x:v>
      </x:c>
      <x:c r="C5" s="281" t="n">
        <x:v>0.015</x:v>
      </x:c>
      <x:c r="D5" s="281" t="n">
        <x:v>0.02</x:v>
      </x:c>
      <x:c r="E5" s="281" t="n">
        <x:v>0.025</x:v>
      </x:c>
      <x:c r="F5" s="281" t="n">
        <x:v>0.03</x:v>
      </x:c>
      <x:c r="G5" s="281" t="n">
        <x:v>0.035</x:v>
      </x:c>
      <x:c r="H5" s="90"/>
      <x:c r="I5" s="90"/>
      <x:c r="J5" s="90"/>
      <x:c r="K5" s="2"/>
      <x:c r="L5" s="2"/>
    </x:row>
    <x:row r="6" ht="20" hidden="0" customHeight="1">
      <x:c r="A6" s="90"/>
      <x:c r="B6" s="281" t="n">
        <x:v>0.075</x:v>
      </x:c>
      <x:c r="C6" s="196" t="n">
        <x:f aca="0">IF(AND($B6&gt;C$5,'Source Inputs'!$C$50&gt;0),MAX(0,'DCF'!$C$17/(1+$B6)^'DCF'!$C$14+'DCF'!$D$17/(1+$B6)^'DCF'!$D$14+'DCF'!$E$17/(1+$B6)^'DCF'!$E$14+'DCF'!$F$17/(1+$B6)^'DCF'!$F$14+'DCF'!$G$17/(1+$B6)^'DCF'!$G$14+((('Operating Forecast'!$G$7*(1+C$5))*('Assumptions'!$F$11-'Assumptions'!$F$16-'Assumptions'!$F$19-'Assumptions'!$F$12))-MAX(0,('Operating Forecast'!$G$7*(1+C$5))*('Assumptions'!$F$11-'Assumptions'!$F$16-'Assumptions'!$F$19-'Assumptions'!$F$12))*'Assumptions'!$F$14+('Operating Forecast'!$G$7*(1+C$5))*'Assumptions'!$F$12+('Operating Forecast'!$G$44-'Operating Forecast'!$G$45)*(1+C$5)-MAX(('Operating Forecast'!$G$7*(1+C$5))*'Assumptions'!$F$15,('Operating Forecast'!$G$7*(1+C$5))*'Assumptions'!$F$12)-'Operating Forecast'!$G$7*C$5*('Assumptions'!$C$37+'Assumptions'!$C$24))/($B6-C$5)/(1+$B6)^'DCF'!$G$13-'Source Inputs'!$C$53)/'Source Inputs'!$C$50,0)</x:f>
        <x:v>0</x:v>
      </x:c>
      <x:c r="D6" s="196" t="n">
        <x:f aca="0">IF(AND($B6&gt;D$5,'Source Inputs'!$C$50&gt;0),MAX(0,'DCF'!$C$17/(1+$B6)^'DCF'!$C$14+'DCF'!$D$17/(1+$B6)^'DCF'!$D$14+'DCF'!$E$17/(1+$B6)^'DCF'!$E$14+'DCF'!$F$17/(1+$B6)^'DCF'!$F$14+'DCF'!$G$17/(1+$B6)^'DCF'!$G$14+((('Operating Forecast'!$G$7*(1+D$5))*('Assumptions'!$F$11-'Assumptions'!$F$16-'Assumptions'!$F$19-'Assumptions'!$F$12))-MAX(0,('Operating Forecast'!$G$7*(1+D$5))*('Assumptions'!$F$11-'Assumptions'!$F$16-'Assumptions'!$F$19-'Assumptions'!$F$12))*'Assumptions'!$F$14+('Operating Forecast'!$G$7*(1+D$5))*'Assumptions'!$F$12+('Operating Forecast'!$G$44-'Operating Forecast'!$G$45)*(1+D$5)-MAX(('Operating Forecast'!$G$7*(1+D$5))*'Assumptions'!$F$15,('Operating Forecast'!$G$7*(1+D$5))*'Assumptions'!$F$12)-'Operating Forecast'!$G$7*D$5*('Assumptions'!$C$37+'Assumptions'!$C$24))/($B6-D$5)/(1+$B6)^'DCF'!$G$13-'Source Inputs'!$C$53)/'Source Inputs'!$C$50,0)</x:f>
        <x:v>0</x:v>
      </x:c>
      <x:c r="E6" s="196" t="n">
        <x:f aca="0">IF(AND($B6&gt;E$5,'Source Inputs'!$C$50&gt;0),MAX(0,'DCF'!$C$17/(1+$B6)^'DCF'!$C$14+'DCF'!$D$17/(1+$B6)^'DCF'!$D$14+'DCF'!$E$17/(1+$B6)^'DCF'!$E$14+'DCF'!$F$17/(1+$B6)^'DCF'!$F$14+'DCF'!$G$17/(1+$B6)^'DCF'!$G$14+((('Operating Forecast'!$G$7*(1+E$5))*('Assumptions'!$F$11-'Assumptions'!$F$16-'Assumptions'!$F$19-'Assumptions'!$F$12))-MAX(0,('Operating Forecast'!$G$7*(1+E$5))*('Assumptions'!$F$11-'Assumptions'!$F$16-'Assumptions'!$F$19-'Assumptions'!$F$12))*'Assumptions'!$F$14+('Operating Forecast'!$G$7*(1+E$5))*'Assumptions'!$F$12+('Operating Forecast'!$G$44-'Operating Forecast'!$G$45)*(1+E$5)-MAX(('Operating Forecast'!$G$7*(1+E$5))*'Assumptions'!$F$15,('Operating Forecast'!$G$7*(1+E$5))*'Assumptions'!$F$12)-'Operating Forecast'!$G$7*E$5*('Assumptions'!$C$37+'Assumptions'!$C$24))/($B6-E$5)/(1+$B6)^'DCF'!$G$13-'Source Inputs'!$C$53)/'Source Inputs'!$C$50,0)</x:f>
        <x:v>0</x:v>
      </x:c>
      <x:c r="F6" s="196" t="n">
        <x:f aca="0">IF(AND($B6&gt;F$5,'Source Inputs'!$C$50&gt;0),MAX(0,'DCF'!$C$17/(1+$B6)^'DCF'!$C$14+'DCF'!$D$17/(1+$B6)^'DCF'!$D$14+'DCF'!$E$17/(1+$B6)^'DCF'!$E$14+'DCF'!$F$17/(1+$B6)^'DCF'!$F$14+'DCF'!$G$17/(1+$B6)^'DCF'!$G$14+((('Operating Forecast'!$G$7*(1+F$5))*('Assumptions'!$F$11-'Assumptions'!$F$16-'Assumptions'!$F$19-'Assumptions'!$F$12))-MAX(0,('Operating Forecast'!$G$7*(1+F$5))*('Assumptions'!$F$11-'Assumptions'!$F$16-'Assumptions'!$F$19-'Assumptions'!$F$12))*'Assumptions'!$F$14+('Operating Forecast'!$G$7*(1+F$5))*'Assumptions'!$F$12+('Operating Forecast'!$G$44-'Operating Forecast'!$G$45)*(1+F$5)-MAX(('Operating Forecast'!$G$7*(1+F$5))*'Assumptions'!$F$15,('Operating Forecast'!$G$7*(1+F$5))*'Assumptions'!$F$12)-'Operating Forecast'!$G$7*F$5*('Assumptions'!$C$37+'Assumptions'!$C$24))/($B6-F$5)/(1+$B6)^'DCF'!$G$13-'Source Inputs'!$C$53)/'Source Inputs'!$C$50,0)</x:f>
        <x:v>0</x:v>
      </x:c>
      <x:c r="G6" s="196" t="n">
        <x:f aca="0">IF(AND($B6&gt;G$5,'Source Inputs'!$C$50&gt;0),MAX(0,'DCF'!$C$17/(1+$B6)^'DCF'!$C$14+'DCF'!$D$17/(1+$B6)^'DCF'!$D$14+'DCF'!$E$17/(1+$B6)^'DCF'!$E$14+'DCF'!$F$17/(1+$B6)^'DCF'!$F$14+'DCF'!$G$17/(1+$B6)^'DCF'!$G$14+((('Operating Forecast'!$G$7*(1+G$5))*('Assumptions'!$F$11-'Assumptions'!$F$16-'Assumptions'!$F$19-'Assumptions'!$F$12))-MAX(0,('Operating Forecast'!$G$7*(1+G$5))*('Assumptions'!$F$11-'Assumptions'!$F$16-'Assumptions'!$F$19-'Assumptions'!$F$12))*'Assumptions'!$F$14+('Operating Forecast'!$G$7*(1+G$5))*'Assumptions'!$F$12+('Operating Forecast'!$G$44-'Operating Forecast'!$G$45)*(1+G$5)-MAX(('Operating Forecast'!$G$7*(1+G$5))*'Assumptions'!$F$15,('Operating Forecast'!$G$7*(1+G$5))*'Assumptions'!$F$12)-'Operating Forecast'!$G$7*G$5*('Assumptions'!$C$37+'Assumptions'!$C$24))/($B6-G$5)/(1+$B6)^'DCF'!$G$13-'Source Inputs'!$C$53)/'Source Inputs'!$C$50,0)</x:f>
        <x:v>0.17307100788003144</x:v>
      </x:c>
      <x:c r="H6" s="90"/>
      <x:c r="I6" s="90"/>
      <x:c r="J6" s="90"/>
      <x:c r="K6" s="2"/>
      <x:c r="L6" s="2"/>
    </x:row>
    <x:row r="7" ht="20" hidden="0" customHeight="1">
      <x:c r="A7" s="90"/>
      <x:c r="B7" s="281" t="n">
        <x:v>0.08499999999999999</x:v>
      </x:c>
      <x:c r="C7" s="196" t="n">
        <x:f aca="0">IF(AND($B7&gt;C$5,'Source Inputs'!$C$50&gt;0),MAX(0,'DCF'!$C$17/(1+$B7)^'DCF'!$C$14+'DCF'!$D$17/(1+$B7)^'DCF'!$D$14+'DCF'!$E$17/(1+$B7)^'DCF'!$E$14+'DCF'!$F$17/(1+$B7)^'DCF'!$F$14+'DCF'!$G$17/(1+$B7)^'DCF'!$G$14+((('Operating Forecast'!$G$7*(1+C$5))*('Assumptions'!$F$11-'Assumptions'!$F$16-'Assumptions'!$F$19-'Assumptions'!$F$12))-MAX(0,('Operating Forecast'!$G$7*(1+C$5))*('Assumptions'!$F$11-'Assumptions'!$F$16-'Assumptions'!$F$19-'Assumptions'!$F$12))*'Assumptions'!$F$14+('Operating Forecast'!$G$7*(1+C$5))*'Assumptions'!$F$12+('Operating Forecast'!$G$44-'Operating Forecast'!$G$45)*(1+C$5)-MAX(('Operating Forecast'!$G$7*(1+C$5))*'Assumptions'!$F$15,('Operating Forecast'!$G$7*(1+C$5))*'Assumptions'!$F$12)-'Operating Forecast'!$G$7*C$5*('Assumptions'!$C$37+'Assumptions'!$C$24))/($B7-C$5)/(1+$B7)^'DCF'!$G$13-'Source Inputs'!$C$53)/'Source Inputs'!$C$50,0)</x:f>
        <x:v>0</x:v>
      </x:c>
      <x:c r="D7" s="196" t="n">
        <x:f aca="0">IF(AND($B7&gt;D$5,'Source Inputs'!$C$50&gt;0),MAX(0,'DCF'!$C$17/(1+$B7)^'DCF'!$C$14+'DCF'!$D$17/(1+$B7)^'DCF'!$D$14+'DCF'!$E$17/(1+$B7)^'DCF'!$E$14+'DCF'!$F$17/(1+$B7)^'DCF'!$F$14+'DCF'!$G$17/(1+$B7)^'DCF'!$G$14+((('Operating Forecast'!$G$7*(1+D$5))*('Assumptions'!$F$11-'Assumptions'!$F$16-'Assumptions'!$F$19-'Assumptions'!$F$12))-MAX(0,('Operating Forecast'!$G$7*(1+D$5))*('Assumptions'!$F$11-'Assumptions'!$F$16-'Assumptions'!$F$19-'Assumptions'!$F$12))*'Assumptions'!$F$14+('Operating Forecast'!$G$7*(1+D$5))*'Assumptions'!$F$12+('Operating Forecast'!$G$44-'Operating Forecast'!$G$45)*(1+D$5)-MAX(('Operating Forecast'!$G$7*(1+D$5))*'Assumptions'!$F$15,('Operating Forecast'!$G$7*(1+D$5))*'Assumptions'!$F$12)-'Operating Forecast'!$G$7*D$5*('Assumptions'!$C$37+'Assumptions'!$C$24))/($B7-D$5)/(1+$B7)^'DCF'!$G$13-'Source Inputs'!$C$53)/'Source Inputs'!$C$50,0)</x:f>
        <x:v>0</x:v>
      </x:c>
      <x:c r="E7" s="196" t="n">
        <x:f aca="0">IF(AND($B7&gt;E$5,'Source Inputs'!$C$50&gt;0),MAX(0,'DCF'!$C$17/(1+$B7)^'DCF'!$C$14+'DCF'!$D$17/(1+$B7)^'DCF'!$D$14+'DCF'!$E$17/(1+$B7)^'DCF'!$E$14+'DCF'!$F$17/(1+$B7)^'DCF'!$F$14+'DCF'!$G$17/(1+$B7)^'DCF'!$G$14+((('Operating Forecast'!$G$7*(1+E$5))*('Assumptions'!$F$11-'Assumptions'!$F$16-'Assumptions'!$F$19-'Assumptions'!$F$12))-MAX(0,('Operating Forecast'!$G$7*(1+E$5))*('Assumptions'!$F$11-'Assumptions'!$F$16-'Assumptions'!$F$19-'Assumptions'!$F$12))*'Assumptions'!$F$14+('Operating Forecast'!$G$7*(1+E$5))*'Assumptions'!$F$12+('Operating Forecast'!$G$44-'Operating Forecast'!$G$45)*(1+E$5)-MAX(('Operating Forecast'!$G$7*(1+E$5))*'Assumptions'!$F$15,('Operating Forecast'!$G$7*(1+E$5))*'Assumptions'!$F$12)-'Operating Forecast'!$G$7*E$5*('Assumptions'!$C$37+'Assumptions'!$C$24))/($B7-E$5)/(1+$B7)^'DCF'!$G$13-'Source Inputs'!$C$53)/'Source Inputs'!$C$50,0)</x:f>
        <x:v>0</x:v>
      </x:c>
      <x:c r="F7" s="196" t="n">
        <x:f aca="0">IF(AND($B7&gt;F$5,'Source Inputs'!$C$50&gt;0),MAX(0,'DCF'!$C$17/(1+$B7)^'DCF'!$C$14+'DCF'!$D$17/(1+$B7)^'DCF'!$D$14+'DCF'!$E$17/(1+$B7)^'DCF'!$E$14+'DCF'!$F$17/(1+$B7)^'DCF'!$F$14+'DCF'!$G$17/(1+$B7)^'DCF'!$G$14+((('Operating Forecast'!$G$7*(1+F$5))*('Assumptions'!$F$11-'Assumptions'!$F$16-'Assumptions'!$F$19-'Assumptions'!$F$12))-MAX(0,('Operating Forecast'!$G$7*(1+F$5))*('Assumptions'!$F$11-'Assumptions'!$F$16-'Assumptions'!$F$19-'Assumptions'!$F$12))*'Assumptions'!$F$14+('Operating Forecast'!$G$7*(1+F$5))*'Assumptions'!$F$12+('Operating Forecast'!$G$44-'Operating Forecast'!$G$45)*(1+F$5)-MAX(('Operating Forecast'!$G$7*(1+F$5))*'Assumptions'!$F$15,('Operating Forecast'!$G$7*(1+F$5))*'Assumptions'!$F$12)-'Operating Forecast'!$G$7*F$5*('Assumptions'!$C$37+'Assumptions'!$C$24))/($B7-F$5)/(1+$B7)^'DCF'!$G$13-'Source Inputs'!$C$53)/'Source Inputs'!$C$50,0)</x:f>
        <x:v>0</x:v>
      </x:c>
      <x:c r="G7" s="196" t="n">
        <x:f aca="0">IF(AND($B7&gt;G$5,'Source Inputs'!$C$50&gt;0),MAX(0,'DCF'!$C$17/(1+$B7)^'DCF'!$C$14+'DCF'!$D$17/(1+$B7)^'DCF'!$D$14+'DCF'!$E$17/(1+$B7)^'DCF'!$E$14+'DCF'!$F$17/(1+$B7)^'DCF'!$F$14+'DCF'!$G$17/(1+$B7)^'DCF'!$G$14+((('Operating Forecast'!$G$7*(1+G$5))*('Assumptions'!$F$11-'Assumptions'!$F$16-'Assumptions'!$F$19-'Assumptions'!$F$12))-MAX(0,('Operating Forecast'!$G$7*(1+G$5))*('Assumptions'!$F$11-'Assumptions'!$F$16-'Assumptions'!$F$19-'Assumptions'!$F$12))*'Assumptions'!$F$14+('Operating Forecast'!$G$7*(1+G$5))*'Assumptions'!$F$12+('Operating Forecast'!$G$44-'Operating Forecast'!$G$45)*(1+G$5)-MAX(('Operating Forecast'!$G$7*(1+G$5))*'Assumptions'!$F$15,('Operating Forecast'!$G$7*(1+G$5))*'Assumptions'!$F$12)-'Operating Forecast'!$G$7*G$5*('Assumptions'!$C$37+'Assumptions'!$C$24))/($B7-G$5)/(1+$B7)^'DCF'!$G$13-'Source Inputs'!$C$53)/'Source Inputs'!$C$50,0)</x:f>
        <x:v>0</x:v>
      </x:c>
      <x:c r="H7" s="90"/>
      <x:c r="I7" s="90"/>
      <x:c r="J7" s="90"/>
      <x:c r="K7" s="2"/>
      <x:c r="L7" s="2"/>
    </x:row>
    <x:row r="8" ht="20" hidden="0" customHeight="1">
      <x:c r="A8" s="90"/>
      <x:c r="B8" s="281" t="n">
        <x:v>0.095</x:v>
      </x:c>
      <x:c r="C8" s="196" t="n">
        <x:f aca="0">IF(AND($B8&gt;C$5,'Source Inputs'!$C$50&gt;0),MAX(0,'DCF'!$C$17/(1+$B8)^'DCF'!$C$14+'DCF'!$D$17/(1+$B8)^'DCF'!$D$14+'DCF'!$E$17/(1+$B8)^'DCF'!$E$14+'DCF'!$F$17/(1+$B8)^'DCF'!$F$14+'DCF'!$G$17/(1+$B8)^'DCF'!$G$14+((('Operating Forecast'!$G$7*(1+C$5))*('Assumptions'!$F$11-'Assumptions'!$F$16-'Assumptions'!$F$19-'Assumptions'!$F$12))-MAX(0,('Operating Forecast'!$G$7*(1+C$5))*('Assumptions'!$F$11-'Assumptions'!$F$16-'Assumptions'!$F$19-'Assumptions'!$F$12))*'Assumptions'!$F$14+('Operating Forecast'!$G$7*(1+C$5))*'Assumptions'!$F$12+('Operating Forecast'!$G$44-'Operating Forecast'!$G$45)*(1+C$5)-MAX(('Operating Forecast'!$G$7*(1+C$5))*'Assumptions'!$F$15,('Operating Forecast'!$G$7*(1+C$5))*'Assumptions'!$F$12)-'Operating Forecast'!$G$7*C$5*('Assumptions'!$C$37+'Assumptions'!$C$24))/($B8-C$5)/(1+$B8)^'DCF'!$G$13-'Source Inputs'!$C$53)/'Source Inputs'!$C$50,0)</x:f>
        <x:v>0</x:v>
      </x:c>
      <x:c r="D8" s="196" t="n">
        <x:f aca="0">IF(AND($B8&gt;D$5,'Source Inputs'!$C$50&gt;0),MAX(0,'DCF'!$C$17/(1+$B8)^'DCF'!$C$14+'DCF'!$D$17/(1+$B8)^'DCF'!$D$14+'DCF'!$E$17/(1+$B8)^'DCF'!$E$14+'DCF'!$F$17/(1+$B8)^'DCF'!$F$14+'DCF'!$G$17/(1+$B8)^'DCF'!$G$14+((('Operating Forecast'!$G$7*(1+D$5))*('Assumptions'!$F$11-'Assumptions'!$F$16-'Assumptions'!$F$19-'Assumptions'!$F$12))-MAX(0,('Operating Forecast'!$G$7*(1+D$5))*('Assumptions'!$F$11-'Assumptions'!$F$16-'Assumptions'!$F$19-'Assumptions'!$F$12))*'Assumptions'!$F$14+('Operating Forecast'!$G$7*(1+D$5))*'Assumptions'!$F$12+('Operating Forecast'!$G$44-'Operating Forecast'!$G$45)*(1+D$5)-MAX(('Operating Forecast'!$G$7*(1+D$5))*'Assumptions'!$F$15,('Operating Forecast'!$G$7*(1+D$5))*'Assumptions'!$F$12)-'Operating Forecast'!$G$7*D$5*('Assumptions'!$C$37+'Assumptions'!$C$24))/($B8-D$5)/(1+$B8)^'DCF'!$G$13-'Source Inputs'!$C$53)/'Source Inputs'!$C$50,0)</x:f>
        <x:v>0</x:v>
      </x:c>
      <x:c r="E8" s="196" t="n">
        <x:f aca="0">IF(AND($B8&gt;E$5,'Source Inputs'!$C$50&gt;0),MAX(0,'DCF'!$C$17/(1+$B8)^'DCF'!$C$14+'DCF'!$D$17/(1+$B8)^'DCF'!$D$14+'DCF'!$E$17/(1+$B8)^'DCF'!$E$14+'DCF'!$F$17/(1+$B8)^'DCF'!$F$14+'DCF'!$G$17/(1+$B8)^'DCF'!$G$14+((('Operating Forecast'!$G$7*(1+E$5))*('Assumptions'!$F$11-'Assumptions'!$F$16-'Assumptions'!$F$19-'Assumptions'!$F$12))-MAX(0,('Operating Forecast'!$G$7*(1+E$5))*('Assumptions'!$F$11-'Assumptions'!$F$16-'Assumptions'!$F$19-'Assumptions'!$F$12))*'Assumptions'!$F$14+('Operating Forecast'!$G$7*(1+E$5))*'Assumptions'!$F$12+('Operating Forecast'!$G$44-'Operating Forecast'!$G$45)*(1+E$5)-MAX(('Operating Forecast'!$G$7*(1+E$5))*'Assumptions'!$F$15,('Operating Forecast'!$G$7*(1+E$5))*'Assumptions'!$F$12)-'Operating Forecast'!$G$7*E$5*('Assumptions'!$C$37+'Assumptions'!$C$24))/($B8-E$5)/(1+$B8)^'DCF'!$G$13-'Source Inputs'!$C$53)/'Source Inputs'!$C$50,0)</x:f>
        <x:v>0</x:v>
      </x:c>
      <x:c r="F8" s="196" t="n">
        <x:f aca="0">IF(AND($B8&gt;F$5,'Source Inputs'!$C$50&gt;0),MAX(0,'DCF'!$C$17/(1+$B8)^'DCF'!$C$14+'DCF'!$D$17/(1+$B8)^'DCF'!$D$14+'DCF'!$E$17/(1+$B8)^'DCF'!$E$14+'DCF'!$F$17/(1+$B8)^'DCF'!$F$14+'DCF'!$G$17/(1+$B8)^'DCF'!$G$14+((('Operating Forecast'!$G$7*(1+F$5))*('Assumptions'!$F$11-'Assumptions'!$F$16-'Assumptions'!$F$19-'Assumptions'!$F$12))-MAX(0,('Operating Forecast'!$G$7*(1+F$5))*('Assumptions'!$F$11-'Assumptions'!$F$16-'Assumptions'!$F$19-'Assumptions'!$F$12))*'Assumptions'!$F$14+('Operating Forecast'!$G$7*(1+F$5))*'Assumptions'!$F$12+('Operating Forecast'!$G$44-'Operating Forecast'!$G$45)*(1+F$5)-MAX(('Operating Forecast'!$G$7*(1+F$5))*'Assumptions'!$F$15,('Operating Forecast'!$G$7*(1+F$5))*'Assumptions'!$F$12)-'Operating Forecast'!$G$7*F$5*('Assumptions'!$C$37+'Assumptions'!$C$24))/($B8-F$5)/(1+$B8)^'DCF'!$G$13-'Source Inputs'!$C$53)/'Source Inputs'!$C$50,0)</x:f>
        <x:v>0</x:v>
      </x:c>
      <x:c r="G8" s="196" t="n">
        <x:f aca="0">IF(AND($B8&gt;G$5,'Source Inputs'!$C$50&gt;0),MAX(0,'DCF'!$C$17/(1+$B8)^'DCF'!$C$14+'DCF'!$D$17/(1+$B8)^'DCF'!$D$14+'DCF'!$E$17/(1+$B8)^'DCF'!$E$14+'DCF'!$F$17/(1+$B8)^'DCF'!$F$14+'DCF'!$G$17/(1+$B8)^'DCF'!$G$14+((('Operating Forecast'!$G$7*(1+G$5))*('Assumptions'!$F$11-'Assumptions'!$F$16-'Assumptions'!$F$19-'Assumptions'!$F$12))-MAX(0,('Operating Forecast'!$G$7*(1+G$5))*('Assumptions'!$F$11-'Assumptions'!$F$16-'Assumptions'!$F$19-'Assumptions'!$F$12))*'Assumptions'!$F$14+('Operating Forecast'!$G$7*(1+G$5))*'Assumptions'!$F$12+('Operating Forecast'!$G$44-'Operating Forecast'!$G$45)*(1+G$5)-MAX(('Operating Forecast'!$G$7*(1+G$5))*'Assumptions'!$F$15,('Operating Forecast'!$G$7*(1+G$5))*'Assumptions'!$F$12)-'Operating Forecast'!$G$7*G$5*('Assumptions'!$C$37+'Assumptions'!$C$24))/($B8-G$5)/(1+$B8)^'DCF'!$G$13-'Source Inputs'!$C$53)/'Source Inputs'!$C$50,0)</x:f>
        <x:v>0</x:v>
      </x:c>
      <x:c r="H8" s="90"/>
      <x:c r="I8" s="90"/>
      <x:c r="J8" s="90"/>
      <x:c r="K8" s="2"/>
      <x:c r="L8" s="2"/>
    </x:row>
    <x:row r="9" ht="20" hidden="0" customHeight="1">
      <x:c r="A9" s="90"/>
      <x:c r="B9" s="281" t="n">
        <x:v>0.105</x:v>
      </x:c>
      <x:c r="C9" s="196" t="n">
        <x:f aca="0">IF(AND($B9&gt;C$5,'Source Inputs'!$C$50&gt;0),MAX(0,'DCF'!$C$17/(1+$B9)^'DCF'!$C$14+'DCF'!$D$17/(1+$B9)^'DCF'!$D$14+'DCF'!$E$17/(1+$B9)^'DCF'!$E$14+'DCF'!$F$17/(1+$B9)^'DCF'!$F$14+'DCF'!$G$17/(1+$B9)^'DCF'!$G$14+((('Operating Forecast'!$G$7*(1+C$5))*('Assumptions'!$F$11-'Assumptions'!$F$16-'Assumptions'!$F$19-'Assumptions'!$F$12))-MAX(0,('Operating Forecast'!$G$7*(1+C$5))*('Assumptions'!$F$11-'Assumptions'!$F$16-'Assumptions'!$F$19-'Assumptions'!$F$12))*'Assumptions'!$F$14+('Operating Forecast'!$G$7*(1+C$5))*'Assumptions'!$F$12+('Operating Forecast'!$G$44-'Operating Forecast'!$G$45)*(1+C$5)-MAX(('Operating Forecast'!$G$7*(1+C$5))*'Assumptions'!$F$15,('Operating Forecast'!$G$7*(1+C$5))*'Assumptions'!$F$12)-'Operating Forecast'!$G$7*C$5*('Assumptions'!$C$37+'Assumptions'!$C$24))/($B9-C$5)/(1+$B9)^'DCF'!$G$13-'Source Inputs'!$C$53)/'Source Inputs'!$C$50,0)</x:f>
        <x:v>0</x:v>
      </x:c>
      <x:c r="D9" s="196" t="n">
        <x:f aca="0">IF(AND($B9&gt;D$5,'Source Inputs'!$C$50&gt;0),MAX(0,'DCF'!$C$17/(1+$B9)^'DCF'!$C$14+'DCF'!$D$17/(1+$B9)^'DCF'!$D$14+'DCF'!$E$17/(1+$B9)^'DCF'!$E$14+'DCF'!$F$17/(1+$B9)^'DCF'!$F$14+'DCF'!$G$17/(1+$B9)^'DCF'!$G$14+((('Operating Forecast'!$G$7*(1+D$5))*('Assumptions'!$F$11-'Assumptions'!$F$16-'Assumptions'!$F$19-'Assumptions'!$F$12))-MAX(0,('Operating Forecast'!$G$7*(1+D$5))*('Assumptions'!$F$11-'Assumptions'!$F$16-'Assumptions'!$F$19-'Assumptions'!$F$12))*'Assumptions'!$F$14+('Operating Forecast'!$G$7*(1+D$5))*'Assumptions'!$F$12+('Operating Forecast'!$G$44-'Operating Forecast'!$G$45)*(1+D$5)-MAX(('Operating Forecast'!$G$7*(1+D$5))*'Assumptions'!$F$15,('Operating Forecast'!$G$7*(1+D$5))*'Assumptions'!$F$12)-'Operating Forecast'!$G$7*D$5*('Assumptions'!$C$37+'Assumptions'!$C$24))/($B9-D$5)/(1+$B9)^'DCF'!$G$13-'Source Inputs'!$C$53)/'Source Inputs'!$C$50,0)</x:f>
        <x:v>0</x:v>
      </x:c>
      <x:c r="E9" s="196" t="n">
        <x:f aca="0">IF(AND($B9&gt;E$5,'Source Inputs'!$C$50&gt;0),MAX(0,'DCF'!$C$17/(1+$B9)^'DCF'!$C$14+'DCF'!$D$17/(1+$B9)^'DCF'!$D$14+'DCF'!$E$17/(1+$B9)^'DCF'!$E$14+'DCF'!$F$17/(1+$B9)^'DCF'!$F$14+'DCF'!$G$17/(1+$B9)^'DCF'!$G$14+((('Operating Forecast'!$G$7*(1+E$5))*('Assumptions'!$F$11-'Assumptions'!$F$16-'Assumptions'!$F$19-'Assumptions'!$F$12))-MAX(0,('Operating Forecast'!$G$7*(1+E$5))*('Assumptions'!$F$11-'Assumptions'!$F$16-'Assumptions'!$F$19-'Assumptions'!$F$12))*'Assumptions'!$F$14+('Operating Forecast'!$G$7*(1+E$5))*'Assumptions'!$F$12+('Operating Forecast'!$G$44-'Operating Forecast'!$G$45)*(1+E$5)-MAX(('Operating Forecast'!$G$7*(1+E$5))*'Assumptions'!$F$15,('Operating Forecast'!$G$7*(1+E$5))*'Assumptions'!$F$12)-'Operating Forecast'!$G$7*E$5*('Assumptions'!$C$37+'Assumptions'!$C$24))/($B9-E$5)/(1+$B9)^'DCF'!$G$13-'Source Inputs'!$C$53)/'Source Inputs'!$C$50,0)</x:f>
        <x:v>0</x:v>
      </x:c>
      <x:c r="F9" s="196" t="n">
        <x:f aca="0">IF(AND($B9&gt;F$5,'Source Inputs'!$C$50&gt;0),MAX(0,'DCF'!$C$17/(1+$B9)^'DCF'!$C$14+'DCF'!$D$17/(1+$B9)^'DCF'!$D$14+'DCF'!$E$17/(1+$B9)^'DCF'!$E$14+'DCF'!$F$17/(1+$B9)^'DCF'!$F$14+'DCF'!$G$17/(1+$B9)^'DCF'!$G$14+((('Operating Forecast'!$G$7*(1+F$5))*('Assumptions'!$F$11-'Assumptions'!$F$16-'Assumptions'!$F$19-'Assumptions'!$F$12))-MAX(0,('Operating Forecast'!$G$7*(1+F$5))*('Assumptions'!$F$11-'Assumptions'!$F$16-'Assumptions'!$F$19-'Assumptions'!$F$12))*'Assumptions'!$F$14+('Operating Forecast'!$G$7*(1+F$5))*'Assumptions'!$F$12+('Operating Forecast'!$G$44-'Operating Forecast'!$G$45)*(1+F$5)-MAX(('Operating Forecast'!$G$7*(1+F$5))*'Assumptions'!$F$15,('Operating Forecast'!$G$7*(1+F$5))*'Assumptions'!$F$12)-'Operating Forecast'!$G$7*F$5*('Assumptions'!$C$37+'Assumptions'!$C$24))/($B9-F$5)/(1+$B9)^'DCF'!$G$13-'Source Inputs'!$C$53)/'Source Inputs'!$C$50,0)</x:f>
        <x:v>0</x:v>
      </x:c>
      <x:c r="G9" s="196" t="n">
        <x:f aca="0">IF(AND($B9&gt;G$5,'Source Inputs'!$C$50&gt;0),MAX(0,'DCF'!$C$17/(1+$B9)^'DCF'!$C$14+'DCF'!$D$17/(1+$B9)^'DCF'!$D$14+'DCF'!$E$17/(1+$B9)^'DCF'!$E$14+'DCF'!$F$17/(1+$B9)^'DCF'!$F$14+'DCF'!$G$17/(1+$B9)^'DCF'!$G$14+((('Operating Forecast'!$G$7*(1+G$5))*('Assumptions'!$F$11-'Assumptions'!$F$16-'Assumptions'!$F$19-'Assumptions'!$F$12))-MAX(0,('Operating Forecast'!$G$7*(1+G$5))*('Assumptions'!$F$11-'Assumptions'!$F$16-'Assumptions'!$F$19-'Assumptions'!$F$12))*'Assumptions'!$F$14+('Operating Forecast'!$G$7*(1+G$5))*'Assumptions'!$F$12+('Operating Forecast'!$G$44-'Operating Forecast'!$G$45)*(1+G$5)-MAX(('Operating Forecast'!$G$7*(1+G$5))*'Assumptions'!$F$15,('Operating Forecast'!$G$7*(1+G$5))*'Assumptions'!$F$12)-'Operating Forecast'!$G$7*G$5*('Assumptions'!$C$37+'Assumptions'!$C$24))/($B9-G$5)/(1+$B9)^'DCF'!$G$13-'Source Inputs'!$C$53)/'Source Inputs'!$C$50,0)</x:f>
        <x:v>0</x:v>
      </x:c>
      <x:c r="H9" s="90"/>
      <x:c r="I9" s="90"/>
      <x:c r="J9" s="90"/>
      <x:c r="K9" s="2"/>
      <x:c r="L9" s="2"/>
    </x:row>
    <x:row r="10" ht="20" hidden="0" customHeight="1">
      <x:c r="A10" s="90"/>
      <x:c r="B10" s="281" t="n">
        <x:v>0.11499999999999999</x:v>
      </x:c>
      <x:c r="C10" s="196" t="n">
        <x:f aca="0">IF(AND($B10&gt;C$5,'Source Inputs'!$C$50&gt;0),MAX(0,'DCF'!$C$17/(1+$B10)^'DCF'!$C$14+'DCF'!$D$17/(1+$B10)^'DCF'!$D$14+'DCF'!$E$17/(1+$B10)^'DCF'!$E$14+'DCF'!$F$17/(1+$B10)^'DCF'!$F$14+'DCF'!$G$17/(1+$B10)^'DCF'!$G$14+((('Operating Forecast'!$G$7*(1+C$5))*('Assumptions'!$F$11-'Assumptions'!$F$16-'Assumptions'!$F$19-'Assumptions'!$F$12))-MAX(0,('Operating Forecast'!$G$7*(1+C$5))*('Assumptions'!$F$11-'Assumptions'!$F$16-'Assumptions'!$F$19-'Assumptions'!$F$12))*'Assumptions'!$F$14+('Operating Forecast'!$G$7*(1+C$5))*'Assumptions'!$F$12+('Operating Forecast'!$G$44-'Operating Forecast'!$G$45)*(1+C$5)-MAX(('Operating Forecast'!$G$7*(1+C$5))*'Assumptions'!$F$15,('Operating Forecast'!$G$7*(1+C$5))*'Assumptions'!$F$12)-'Operating Forecast'!$G$7*C$5*('Assumptions'!$C$37+'Assumptions'!$C$24))/($B10-C$5)/(1+$B10)^'DCF'!$G$13-'Source Inputs'!$C$53)/'Source Inputs'!$C$50,0)</x:f>
        <x:v>0</x:v>
      </x:c>
      <x:c r="D10" s="196" t="n">
        <x:f aca="0">IF(AND($B10&gt;D$5,'Source Inputs'!$C$50&gt;0),MAX(0,'DCF'!$C$17/(1+$B10)^'DCF'!$C$14+'DCF'!$D$17/(1+$B10)^'DCF'!$D$14+'DCF'!$E$17/(1+$B10)^'DCF'!$E$14+'DCF'!$F$17/(1+$B10)^'DCF'!$F$14+'DCF'!$G$17/(1+$B10)^'DCF'!$G$14+((('Operating Forecast'!$G$7*(1+D$5))*('Assumptions'!$F$11-'Assumptions'!$F$16-'Assumptions'!$F$19-'Assumptions'!$F$12))-MAX(0,('Operating Forecast'!$G$7*(1+D$5))*('Assumptions'!$F$11-'Assumptions'!$F$16-'Assumptions'!$F$19-'Assumptions'!$F$12))*'Assumptions'!$F$14+('Operating Forecast'!$G$7*(1+D$5))*'Assumptions'!$F$12+('Operating Forecast'!$G$44-'Operating Forecast'!$G$45)*(1+D$5)-MAX(('Operating Forecast'!$G$7*(1+D$5))*'Assumptions'!$F$15,('Operating Forecast'!$G$7*(1+D$5))*'Assumptions'!$F$12)-'Operating Forecast'!$G$7*D$5*('Assumptions'!$C$37+'Assumptions'!$C$24))/($B10-D$5)/(1+$B10)^'DCF'!$G$13-'Source Inputs'!$C$53)/'Source Inputs'!$C$50,0)</x:f>
        <x:v>0</x:v>
      </x:c>
      <x:c r="E10" s="196" t="n">
        <x:f aca="0">IF(AND($B10&gt;E$5,'Source Inputs'!$C$50&gt;0),MAX(0,'DCF'!$C$17/(1+$B10)^'DCF'!$C$14+'DCF'!$D$17/(1+$B10)^'DCF'!$D$14+'DCF'!$E$17/(1+$B10)^'DCF'!$E$14+'DCF'!$F$17/(1+$B10)^'DCF'!$F$14+'DCF'!$G$17/(1+$B10)^'DCF'!$G$14+((('Operating Forecast'!$G$7*(1+E$5))*('Assumptions'!$F$11-'Assumptions'!$F$16-'Assumptions'!$F$19-'Assumptions'!$F$12))-MAX(0,('Operating Forecast'!$G$7*(1+E$5))*('Assumptions'!$F$11-'Assumptions'!$F$16-'Assumptions'!$F$19-'Assumptions'!$F$12))*'Assumptions'!$F$14+('Operating Forecast'!$G$7*(1+E$5))*'Assumptions'!$F$12+('Operating Forecast'!$G$44-'Operating Forecast'!$G$45)*(1+E$5)-MAX(('Operating Forecast'!$G$7*(1+E$5))*'Assumptions'!$F$15,('Operating Forecast'!$G$7*(1+E$5))*'Assumptions'!$F$12)-'Operating Forecast'!$G$7*E$5*('Assumptions'!$C$37+'Assumptions'!$C$24))/($B10-E$5)/(1+$B10)^'DCF'!$G$13-'Source Inputs'!$C$53)/'Source Inputs'!$C$50,0)</x:f>
        <x:v>0</x:v>
      </x:c>
      <x:c r="F10" s="196" t="n">
        <x:f aca="0">IF(AND($B10&gt;F$5,'Source Inputs'!$C$50&gt;0),MAX(0,'DCF'!$C$17/(1+$B10)^'DCF'!$C$14+'DCF'!$D$17/(1+$B10)^'DCF'!$D$14+'DCF'!$E$17/(1+$B10)^'DCF'!$E$14+'DCF'!$F$17/(1+$B10)^'DCF'!$F$14+'DCF'!$G$17/(1+$B10)^'DCF'!$G$14+((('Operating Forecast'!$G$7*(1+F$5))*('Assumptions'!$F$11-'Assumptions'!$F$16-'Assumptions'!$F$19-'Assumptions'!$F$12))-MAX(0,('Operating Forecast'!$G$7*(1+F$5))*('Assumptions'!$F$11-'Assumptions'!$F$16-'Assumptions'!$F$19-'Assumptions'!$F$12))*'Assumptions'!$F$14+('Operating Forecast'!$G$7*(1+F$5))*'Assumptions'!$F$12+('Operating Forecast'!$G$44-'Operating Forecast'!$G$45)*(1+F$5)-MAX(('Operating Forecast'!$G$7*(1+F$5))*'Assumptions'!$F$15,('Operating Forecast'!$G$7*(1+F$5))*'Assumptions'!$F$12)-'Operating Forecast'!$G$7*F$5*('Assumptions'!$C$37+'Assumptions'!$C$24))/($B10-F$5)/(1+$B10)^'DCF'!$G$13-'Source Inputs'!$C$53)/'Source Inputs'!$C$50,0)</x:f>
        <x:v>0</x:v>
      </x:c>
      <x:c r="G10" s="196" t="n">
        <x:f aca="0">IF(AND($B10&gt;G$5,'Source Inputs'!$C$50&gt;0),MAX(0,'DCF'!$C$17/(1+$B10)^'DCF'!$C$14+'DCF'!$D$17/(1+$B10)^'DCF'!$D$14+'DCF'!$E$17/(1+$B10)^'DCF'!$E$14+'DCF'!$F$17/(1+$B10)^'DCF'!$F$14+'DCF'!$G$17/(1+$B10)^'DCF'!$G$14+((('Operating Forecast'!$G$7*(1+G$5))*('Assumptions'!$F$11-'Assumptions'!$F$16-'Assumptions'!$F$19-'Assumptions'!$F$12))-MAX(0,('Operating Forecast'!$G$7*(1+G$5))*('Assumptions'!$F$11-'Assumptions'!$F$16-'Assumptions'!$F$19-'Assumptions'!$F$12))*'Assumptions'!$F$14+('Operating Forecast'!$G$7*(1+G$5))*'Assumptions'!$F$12+('Operating Forecast'!$G$44-'Operating Forecast'!$G$45)*(1+G$5)-MAX(('Operating Forecast'!$G$7*(1+G$5))*'Assumptions'!$F$15,('Operating Forecast'!$G$7*(1+G$5))*'Assumptions'!$F$12)-'Operating Forecast'!$G$7*G$5*('Assumptions'!$C$37+'Assumptions'!$C$24))/($B10-G$5)/(1+$B10)^'DCF'!$G$13-'Source Inputs'!$C$53)/'Source Inputs'!$C$50,0)</x:f>
        <x:v>0</x:v>
      </x:c>
      <x:c r="H10" s="90"/>
      <x:c r="I10" s="90"/>
      <x:c r="J10" s="90"/>
      <x:c r="K10" s="2"/>
      <x:c r="L10" s="2"/>
    </x:row>
    <x:row r="11" ht="20" hidden="0" customHeight="1">
      <x:c r="A11" s="90"/>
      <x:c r="B11" s="90"/>
      <x:c r="C11" s="90"/>
      <x:c r="D11" s="90"/>
      <x:c r="E11" s="90"/>
      <x:c r="F11" s="90"/>
      <x:c r="G11" s="90"/>
      <x:c r="H11" s="90"/>
      <x:c r="I11" s="90"/>
      <x:c r="J11" s="90"/>
      <x:c r="K11" s="2"/>
      <x:c r="L11" s="2"/>
    </x:row>
    <x:row r="12" ht="20" hidden="0" customHeight="1">
      <x:c r="A12" s="88"/>
      <x:c r="B12" s="88"/>
      <x:c r="C12" s="88"/>
      <x:c r="D12" s="88"/>
      <x:c r="E12" s="88"/>
      <x:c r="F12" s="88"/>
      <x:c r="G12" s="88"/>
      <x:c r="H12" s="88"/>
      <x:c r="I12" s="88"/>
      <x:c r="J12" s="88"/>
      <x:c r="K12" s="2"/>
      <x:c r="L12" s="2"/>
    </x:row>
    <x:row r="13" ht="20" hidden="0" customHeight="1">
      <x:c r="A13" s="90"/>
      <x:c r="B13" s="92"/>
      <x:c r="C13" s="228"/>
      <x:c r="D13" s="228"/>
      <x:c r="E13" s="228"/>
      <x:c r="F13" s="228"/>
      <x:c r="G13" s="228"/>
      <x:c r="H13" s="90"/>
      <x:c r="I13" s="90"/>
      <x:c r="J13" s="90"/>
      <x:c r="K13" s="2"/>
      <x:c r="L13" s="2"/>
    </x:row>
    <x:row r="14" ht="20" hidden="0" customHeight="1">
      <x:c r="A14" s="90"/>
      <x:c r="B14" s="94" t="str">
        <x:v>WACC / parent economic exit multiple</x:v>
      </x:c>
      <x:c r="C14" s="148" t="n">
        <x:f aca="0"/>
        <x:v>7</x:v>
      </x:c>
      <x:c r="D14" s="148" t="n">
        <x:f aca="0"/>
        <x:v>8</x:v>
      </x:c>
      <x:c r="E14" s="148" t="n">
        <x:f aca="0"/>
        <x:v>9</x:v>
      </x:c>
      <x:c r="F14" s="148" t="n">
        <x:f aca="0"/>
        <x:v>10</x:v>
      </x:c>
      <x:c r="G14" s="148" t="n">
        <x:f aca="0"/>
        <x:v>11</x:v>
      </x:c>
      <x:c r="H14" s="90"/>
      <x:c r="I14" s="90"/>
      <x:c r="J14" s="90"/>
      <x:c r="K14" s="2"/>
      <x:c r="L14" s="2"/>
    </x:row>
    <x:row r="15" ht="20" hidden="0" customHeight="1">
      <x:c r="A15" s="90"/>
      <x:c r="B15" s="281" t="n">
        <x:v>0.075</x:v>
      </x:c>
      <x:c r="C15" s="196" t="n">
        <x:f aca="0">IF('Source Inputs'!$C$50&gt;0,MAX(0,'DCF'!$C$17/(1+$B15)^'DCF'!$C$14+'DCF'!$D$17/(1+$B15)^'DCF'!$D$14+'DCF'!$E$17/(1+$B15)^'DCF'!$E$14+'DCF'!$F$17/(1+$B15)^'DCF'!$F$14+'DCF'!$G$17/(1+$B15)^'DCF'!$G$14+'DCF'!$C$40*C$14/(1+$B15)^'DCF'!$G$13-'Source Inputs'!$C$53)/'Source Inputs'!$C$50,0)</x:f>
        <x:v>0</x:v>
      </x:c>
      <x:c r="D15" s="196" t="n">
        <x:f aca="0">IF('Source Inputs'!$C$50&gt;0,MAX(0,'DCF'!$C$17/(1+$B15)^'DCF'!$C$14+'DCF'!$D$17/(1+$B15)^'DCF'!$D$14+'DCF'!$E$17/(1+$B15)^'DCF'!$E$14+'DCF'!$F$17/(1+$B15)^'DCF'!$F$14+'DCF'!$G$17/(1+$B15)^'DCF'!$G$14+'DCF'!$C$40*D$14/(1+$B15)^'DCF'!$G$13-'Source Inputs'!$C$53)/'Source Inputs'!$C$50,0)</x:f>
        <x:v>0</x:v>
      </x:c>
      <x:c r="E15" s="196" t="n">
        <x:f aca="0">IF('Source Inputs'!$C$50&gt;0,MAX(0,'DCF'!$C$17/(1+$B15)^'DCF'!$C$14+'DCF'!$D$17/(1+$B15)^'DCF'!$D$14+'DCF'!$E$17/(1+$B15)^'DCF'!$E$14+'DCF'!$F$17/(1+$B15)^'DCF'!$F$14+'DCF'!$G$17/(1+$B15)^'DCF'!$G$14+'DCF'!$C$40*E$14/(1+$B15)^'DCF'!$G$13-'Source Inputs'!$C$53)/'Source Inputs'!$C$50,0)</x:f>
        <x:v>1.5255526271021778</x:v>
      </x:c>
      <x:c r="F15" s="196" t="n">
        <x:f aca="0">IF('Source Inputs'!$C$50&gt;0,MAX(0,'DCF'!$C$17/(1+$B15)^'DCF'!$C$14+'DCF'!$D$17/(1+$B15)^'DCF'!$D$14+'DCF'!$E$17/(1+$B15)^'DCF'!$E$14+'DCF'!$F$17/(1+$B15)^'DCF'!$F$14+'DCF'!$G$17/(1+$B15)^'DCF'!$G$14+'DCF'!$C$40*F$14/(1+$B15)^'DCF'!$G$13-'Source Inputs'!$C$53)/'Source Inputs'!$C$50,0)</x:f>
        <x:v>4.062493735337651</x:v>
      </x:c>
      <x:c r="G15" s="196" t="n">
        <x:f aca="0">IF('Source Inputs'!$C$50&gt;0,MAX(0,'DCF'!$C$17/(1+$B15)^'DCF'!$C$14+'DCF'!$D$17/(1+$B15)^'DCF'!$D$14+'DCF'!$E$17/(1+$B15)^'DCF'!$E$14+'DCF'!$F$17/(1+$B15)^'DCF'!$F$14+'DCF'!$G$17/(1+$B15)^'DCF'!$G$14+'DCF'!$C$40*G$14/(1+$B15)^'DCF'!$G$13-'Source Inputs'!$C$53)/'Source Inputs'!$C$50,0)</x:f>
        <x:v>6.599434843573114</x:v>
      </x:c>
      <x:c r="H15" s="90"/>
      <x:c r="I15" s="90"/>
      <x:c r="J15" s="90"/>
      <x:c r="K15" s="2"/>
      <x:c r="L15" s="2"/>
    </x:row>
    <x:row r="16" ht="20" hidden="0" customHeight="1">
      <x:c r="A16" s="90"/>
      <x:c r="B16" s="281" t="n">
        <x:v>0.08499999999999999</x:v>
      </x:c>
      <x:c r="C16" s="196" t="n">
        <x:f aca="0">IF('Source Inputs'!$C$50&gt;0,MAX(0,'DCF'!$C$17/(1+$B16)^'DCF'!$C$14+'DCF'!$D$17/(1+$B16)^'DCF'!$D$14+'DCF'!$E$17/(1+$B16)^'DCF'!$E$14+'DCF'!$F$17/(1+$B16)^'DCF'!$F$14+'DCF'!$G$17/(1+$B16)^'DCF'!$G$14+'DCF'!$C$40*C$14/(1+$B16)^'DCF'!$G$13-'Source Inputs'!$C$53)/'Source Inputs'!$C$50,0)</x:f>
        <x:v>0</x:v>
      </x:c>
      <x:c r="D16" s="196" t="n">
        <x:f aca="0">IF('Source Inputs'!$C$50&gt;0,MAX(0,'DCF'!$C$17/(1+$B16)^'DCF'!$C$14+'DCF'!$D$17/(1+$B16)^'DCF'!$D$14+'DCF'!$E$17/(1+$B16)^'DCF'!$E$14+'DCF'!$F$17/(1+$B16)^'DCF'!$F$14+'DCF'!$G$17/(1+$B16)^'DCF'!$G$14+'DCF'!$C$40*D$14/(1+$B16)^'DCF'!$G$13-'Source Inputs'!$C$53)/'Source Inputs'!$C$50,0)</x:f>
        <x:v>0</x:v>
      </x:c>
      <x:c r="E16" s="196" t="n">
        <x:f aca="0">IF('Source Inputs'!$C$50&gt;0,MAX(0,'DCF'!$C$17/(1+$B16)^'DCF'!$C$14+'DCF'!$D$17/(1+$B16)^'DCF'!$D$14+'DCF'!$E$17/(1+$B16)^'DCF'!$E$14+'DCF'!$F$17/(1+$B16)^'DCF'!$F$14+'DCF'!$G$17/(1+$B16)^'DCF'!$G$14+'DCF'!$C$40*E$14/(1+$B16)^'DCF'!$G$13-'Source Inputs'!$C$53)/'Source Inputs'!$C$50,0)</x:f>
        <x:v>0.4955533608525001</x:v>
      </x:c>
      <x:c r="F16" s="196" t="n">
        <x:f aca="0">IF('Source Inputs'!$C$50&gt;0,MAX(0,'DCF'!$C$17/(1+$B16)^'DCF'!$C$14+'DCF'!$D$17/(1+$B16)^'DCF'!$D$14+'DCF'!$E$17/(1+$B16)^'DCF'!$E$14+'DCF'!$F$17/(1+$B16)^'DCF'!$F$14+'DCF'!$G$17/(1+$B16)^'DCF'!$G$14+'DCF'!$C$40*F$14/(1+$B16)^'DCF'!$G$13-'Source Inputs'!$C$53)/'Source Inputs'!$C$50,0)</x:f>
        <x:v>2.932882858549815</x:v>
      </x:c>
      <x:c r="G16" s="196" t="n">
        <x:f aca="0">IF('Source Inputs'!$C$50&gt;0,MAX(0,'DCF'!$C$17/(1+$B16)^'DCF'!$C$14+'DCF'!$D$17/(1+$B16)^'DCF'!$D$14+'DCF'!$E$17/(1+$B16)^'DCF'!$E$14+'DCF'!$F$17/(1+$B16)^'DCF'!$F$14+'DCF'!$G$17/(1+$B16)^'DCF'!$G$14+'DCF'!$C$40*G$14/(1+$B16)^'DCF'!$G$13-'Source Inputs'!$C$53)/'Source Inputs'!$C$50,0)</x:f>
        <x:v>5.370212356247123</x:v>
      </x:c>
      <x:c r="H16" s="90"/>
      <x:c r="I16" s="90"/>
      <x:c r="J16" s="90"/>
      <x:c r="K16" s="2"/>
      <x:c r="L16" s="2"/>
    </x:row>
    <x:row r="17" ht="20" hidden="0" customHeight="1">
      <x:c r="A17" s="90"/>
      <x:c r="B17" s="281" t="n">
        <x:v>0.095</x:v>
      </x:c>
      <x:c r="C17" s="196" t="n">
        <x:f aca="0">IF('Source Inputs'!$C$50&gt;0,MAX(0,'DCF'!$C$17/(1+$B17)^'DCF'!$C$14+'DCF'!$D$17/(1+$B17)^'DCF'!$D$14+'DCF'!$E$17/(1+$B17)^'DCF'!$E$14+'DCF'!$F$17/(1+$B17)^'DCF'!$F$14+'DCF'!$G$17/(1+$B17)^'DCF'!$G$14+'DCF'!$C$40*C$14/(1+$B17)^'DCF'!$G$13-'Source Inputs'!$C$53)/'Source Inputs'!$C$50,0)</x:f>
        <x:v>0</x:v>
      </x:c>
      <x:c r="D17" s="196" t="n">
        <x:f aca="0">IF('Source Inputs'!$C$50&gt;0,MAX(0,'DCF'!$C$17/(1+$B17)^'DCF'!$C$14+'DCF'!$D$17/(1+$B17)^'DCF'!$D$14+'DCF'!$E$17/(1+$B17)^'DCF'!$E$14+'DCF'!$F$17/(1+$B17)^'DCF'!$F$14+'DCF'!$G$17/(1+$B17)^'DCF'!$G$14+'DCF'!$C$40*D$14/(1+$B17)^'DCF'!$G$13-'Source Inputs'!$C$53)/'Source Inputs'!$C$50,0)</x:f>
        <x:v>0</x:v>
      </x:c>
      <x:c r="E17" s="196" t="n">
        <x:f aca="0">IF('Source Inputs'!$C$50&gt;0,MAX(0,'DCF'!$C$17/(1+$B17)^'DCF'!$C$14+'DCF'!$D$17/(1+$B17)^'DCF'!$D$14+'DCF'!$E$17/(1+$B17)^'DCF'!$E$14+'DCF'!$F$17/(1+$B17)^'DCF'!$F$14+'DCF'!$G$17/(1+$B17)^'DCF'!$G$14+'DCF'!$C$40*E$14/(1+$B17)^'DCF'!$G$13-'Source Inputs'!$C$53)/'Source Inputs'!$C$50,0)</x:f>
        <x:v>0</x:v>
      </x:c>
      <x:c r="F17" s="196" t="n">
        <x:f aca="0">IF('Source Inputs'!$C$50&gt;0,MAX(0,'DCF'!$C$17/(1+$B17)^'DCF'!$C$14+'DCF'!$D$17/(1+$B17)^'DCF'!$D$14+'DCF'!$E$17/(1+$B17)^'DCF'!$E$14+'DCF'!$F$17/(1+$B17)^'DCF'!$F$14+'DCF'!$G$17/(1+$B17)^'DCF'!$G$14+'DCF'!$C$40*F$14/(1+$B17)^'DCF'!$G$13-'Source Inputs'!$C$53)/'Source Inputs'!$C$50,0)</x:f>
        <x:v>1.8555767579010074</x:v>
      </x:c>
      <x:c r="G17" s="196" t="n">
        <x:f aca="0">IF('Source Inputs'!$C$50&gt;0,MAX(0,'DCF'!$C$17/(1+$B17)^'DCF'!$C$14+'DCF'!$D$17/(1+$B17)^'DCF'!$D$14+'DCF'!$E$17/(1+$B17)^'DCF'!$E$14+'DCF'!$F$17/(1+$B17)^'DCF'!$F$14+'DCF'!$G$17/(1+$B17)^'DCF'!$G$14+'DCF'!$C$40*G$14/(1+$B17)^'DCF'!$G$13-'Source Inputs'!$C$53)/'Source Inputs'!$C$50,0)</x:f>
        <x:v>4.19806652946095</x:v>
      </x:c>
      <x:c r="H17" s="90"/>
      <x:c r="I17" s="90"/>
      <x:c r="J17" s="90"/>
      <x:c r="K17" s="2"/>
      <x:c r="L17" s="2"/>
    </x:row>
    <x:row r="18" ht="20" hidden="0" customHeight="1">
      <x:c r="A18" s="90"/>
      <x:c r="B18" s="281" t="n">
        <x:v>0.105</x:v>
      </x:c>
      <x:c r="C18" s="196" t="n">
        <x:f aca="0">IF('Source Inputs'!$C$50&gt;0,MAX(0,'DCF'!$C$17/(1+$B18)^'DCF'!$C$14+'DCF'!$D$17/(1+$B18)^'DCF'!$D$14+'DCF'!$E$17/(1+$B18)^'DCF'!$E$14+'DCF'!$F$17/(1+$B18)^'DCF'!$F$14+'DCF'!$G$17/(1+$B18)^'DCF'!$G$14+'DCF'!$C$40*C$14/(1+$B18)^'DCF'!$G$13-'Source Inputs'!$C$53)/'Source Inputs'!$C$50,0)</x:f>
        <x:v>0</x:v>
      </x:c>
      <x:c r="D18" s="196" t="n">
        <x:f aca="0">IF('Source Inputs'!$C$50&gt;0,MAX(0,'DCF'!$C$17/(1+$B18)^'DCF'!$C$14+'DCF'!$D$17/(1+$B18)^'DCF'!$D$14+'DCF'!$E$17/(1+$B18)^'DCF'!$E$14+'DCF'!$F$17/(1+$B18)^'DCF'!$F$14+'DCF'!$G$17/(1+$B18)^'DCF'!$G$14+'DCF'!$C$40*D$14/(1+$B18)^'DCF'!$G$13-'Source Inputs'!$C$53)/'Source Inputs'!$C$50,0)</x:f>
        <x:v>0</x:v>
      </x:c>
      <x:c r="E18" s="196" t="n">
        <x:f aca="0">IF('Source Inputs'!$C$50&gt;0,MAX(0,'DCF'!$C$17/(1+$B18)^'DCF'!$C$14+'DCF'!$D$17/(1+$B18)^'DCF'!$D$14+'DCF'!$E$17/(1+$B18)^'DCF'!$E$14+'DCF'!$F$17/(1+$B18)^'DCF'!$F$14+'DCF'!$G$17/(1+$B18)^'DCF'!$G$14+'DCF'!$C$40*E$14/(1+$B18)^'DCF'!$G$13-'Source Inputs'!$C$53)/'Source Inputs'!$C$50,0)</x:f>
        <x:v>0</x:v>
      </x:c>
      <x:c r="F18" s="196" t="n">
        <x:f aca="0">IF('Source Inputs'!$C$50&gt;0,MAX(0,'DCF'!$C$17/(1+$B18)^'DCF'!$C$14+'DCF'!$D$17/(1+$B18)^'DCF'!$D$14+'DCF'!$E$17/(1+$B18)^'DCF'!$E$14+'DCF'!$F$17/(1+$B18)^'DCF'!$F$14+'DCF'!$G$17/(1+$B18)^'DCF'!$G$14+'DCF'!$C$40*F$14/(1+$B18)^'DCF'!$G$13-'Source Inputs'!$C$53)/'Source Inputs'!$C$50,0)</x:f>
        <x:v>0.8276763702230276</x:v>
      </x:c>
      <x:c r="G18" s="196" t="n">
        <x:f aca="0">IF('Source Inputs'!$C$50&gt;0,MAX(0,'DCF'!$C$17/(1+$B18)^'DCF'!$C$14+'DCF'!$D$17/(1+$B18)^'DCF'!$D$14+'DCF'!$E$17/(1+$B18)^'DCF'!$E$14+'DCF'!$F$17/(1+$B18)^'DCF'!$F$14+'DCF'!$G$17/(1+$B18)^'DCF'!$G$14+'DCF'!$C$40*G$14/(1+$B18)^'DCF'!$G$13-'Source Inputs'!$C$53)/'Source Inputs'!$C$50,0)</x:f>
        <x:v>3.079829209039773</x:v>
      </x:c>
      <x:c r="H18" s="90"/>
      <x:c r="I18" s="90"/>
      <x:c r="J18" s="90"/>
      <x:c r="K18" s="2"/>
      <x:c r="L18" s="2"/>
    </x:row>
    <x:row r="19" ht="20" hidden="0" customHeight="1">
      <x:c r="A19" s="90"/>
      <x:c r="B19" s="133" t="n">
        <x:v>0.11499999999999999</x:v>
      </x:c>
      <x:c r="C19" s="244" t="n">
        <x:f>IF('Source Inputs'!$C$50&gt;0,MAX(0,'DCF'!$C$17/(1+$B19)^'DCF'!$C$14+'DCF'!$D$17/(1+$B19)^'DCF'!$D$14+'DCF'!$E$17/(1+$B19)^'DCF'!$E$14+'DCF'!$F$17/(1+$B19)^'DCF'!$F$14+'DCF'!$G$17/(1+$B19)^'DCF'!$G$14+'DCF'!$C$40*C$14/(1+$B19)^'DCF'!$G$13-'Source Inputs'!$C$53)/'Source Inputs'!$C$50,0)</x:f>
        <x:v>0</x:v>
      </x:c>
      <x:c r="D19" s="244" t="n">
        <x:f>IF('Source Inputs'!$C$50&gt;0,MAX(0,'DCF'!$C$17/(1+$B19)^'DCF'!$C$14+'DCF'!$D$17/(1+$B19)^'DCF'!$D$14+'DCF'!$E$17/(1+$B19)^'DCF'!$E$14+'DCF'!$F$17/(1+$B19)^'DCF'!$F$14+'DCF'!$G$17/(1+$B19)^'DCF'!$G$14+'DCF'!$C$40*D$14/(1+$B19)^'DCF'!$G$13-'Source Inputs'!$C$53)/'Source Inputs'!$C$50,0)</x:f>
        <x:v>0</x:v>
      </x:c>
      <x:c r="E19" s="244" t="n">
        <x:f>IF('Source Inputs'!$C$50&gt;0,MAX(0,'DCF'!$C$17/(1+$B19)^'DCF'!$C$14+'DCF'!$D$17/(1+$B19)^'DCF'!$D$14+'DCF'!$E$17/(1+$B19)^'DCF'!$E$14+'DCF'!$F$17/(1+$B19)^'DCF'!$F$14+'DCF'!$G$17/(1+$B19)^'DCF'!$G$14+'DCF'!$C$40*E$14/(1+$B19)^'DCF'!$G$13-'Source Inputs'!$C$53)/'Source Inputs'!$C$50,0)</x:f>
        <x:v>0</x:v>
      </x:c>
      <x:c r="F19" s="244" t="n">
        <x:f>IF('Source Inputs'!$C$50&gt;0,MAX(0,'DCF'!$C$17/(1+$B19)^'DCF'!$C$14+'DCF'!$D$17/(1+$B19)^'DCF'!$D$14+'DCF'!$E$17/(1+$B19)^'DCF'!$E$14+'DCF'!$F$17/(1+$B19)^'DCF'!$F$14+'DCF'!$G$17/(1+$B19)^'DCF'!$G$14+'DCF'!$C$40*F$14/(1+$B19)^'DCF'!$G$13-'Source Inputs'!$C$53)/'Source Inputs'!$C$50,0)</x:f>
        <x:v>0</x:v>
      </x:c>
      <x:c r="G19" s="244" t="n">
        <x:f>IF('Source Inputs'!$C$50&gt;0,MAX(0,'DCF'!$C$17/(1+$B19)^'DCF'!$C$14+'DCF'!$D$17/(1+$B19)^'DCF'!$D$14+'DCF'!$E$17/(1+$B19)^'DCF'!$E$14+'DCF'!$F$17/(1+$B19)^'DCF'!$F$14+'DCF'!$G$17/(1+$B19)^'DCF'!$G$14+'DCF'!$C$40*G$14/(1+$B19)^'DCF'!$G$13-'Source Inputs'!$C$53)/'Source Inputs'!$C$50,0)</x:f>
        <x:v>2.0125353229427074</x:v>
      </x:c>
      <x:c r="H19" s="90"/>
      <x:c r="I19" s="90"/>
      <x:c r="J19" s="90"/>
      <x:c r="K19" s="2"/>
      <x:c r="L19" s="2"/>
    </x:row>
    <x:row r="20" ht="20" hidden="0" customHeight="1">
      <x:c r="A20" s="90"/>
      <x:c r="B20" s="103"/>
      <x:c r="C20" s="90"/>
      <x:c r="D20" s="90"/>
      <x:c r="E20" s="90"/>
      <x:c r="F20" s="90"/>
      <x:c r="G20" s="90"/>
      <x:c r="H20" s="90"/>
      <x:c r="I20" s="90"/>
      <x:c r="J20" s="90"/>
      <x:c r="K20" s="2"/>
      <x:c r="L20" s="2"/>
    </x:row>
    <x:row r="21" ht="20" hidden="0" customHeight="1">
      <x:c r="A21" s="90"/>
      <x:c r="B21" s="90"/>
      <x:c r="C21" s="90"/>
      <x:c r="D21" s="90"/>
      <x:c r="E21" s="90"/>
      <x:c r="F21" s="90"/>
      <x:c r="G21" s="90"/>
      <x:c r="H21" s="90"/>
      <x:c r="I21" s="90"/>
      <x:c r="J21" s="90"/>
      <x:c r="K21" s="2"/>
      <x:c r="L21" s="2"/>
    </x:row>
    <x:row r="22" ht="20" hidden="0" customHeight="1">
      <x:c r="A22" s="90"/>
      <x:c r="B22" s="118" t="str">
        <x:v>Sensitivity values are floored at zero for common equity. A zero can also indicate a discount rate at or below terminal growth; the model status flags an invalid selected WACC. Keep terminal growth below WACC and compare the raw equity bridge on the DCF sheet.</x:v>
      </x:c>
      <x:c r="C22" s="118"/>
      <x:c r="D22" s="118"/>
      <x:c r="E22" s="118"/>
      <x:c r="F22" s="118"/>
      <x:c r="G22" s="118"/>
      <x:c r="H22" s="118"/>
      <x:c r="I22" s="118"/>
      <x:c r="J22" s="118"/>
      <x:c r="K22" s="2"/>
      <x:c r="L22" s="2"/>
    </x:row>
    <x:row r="23" ht="20" hidden="0" customHeight="1">
      <x:c r="A23" s="90"/>
      <x:c r="B23" s="118"/>
      <x:c r="C23" s="118"/>
      <x:c r="D23" s="118"/>
      <x:c r="E23" s="118"/>
      <x:c r="F23" s="118"/>
      <x:c r="G23" s="118"/>
      <x:c r="H23" s="118"/>
      <x:c r="I23" s="118"/>
      <x:c r="J23" s="118"/>
      <x:c r="K23" s="2"/>
      <x:c r="L23" s="2"/>
    </x:row>
    <x:row r="24" ht="20" hidden="0" customHeight="1">
      <x:c r="A24" s="90"/>
      <x:c r="B24" s="118"/>
      <x:c r="C24" s="118"/>
      <x:c r="D24" s="118"/>
      <x:c r="E24" s="118"/>
      <x:c r="F24" s="118"/>
      <x:c r="G24" s="118"/>
      <x:c r="H24" s="118"/>
      <x:c r="I24" s="118"/>
      <x:c r="J24" s="118"/>
      <x:c r="K24" s="2"/>
      <x:c r="L24" s="2"/>
    </x:row>
    <x:row r="25" ht="20" hidden="0" customHeight="1">
      <x:c r="A25" s="90"/>
      <x:c r="B25" s="118"/>
      <x:c r="C25" s="118"/>
      <x:c r="D25" s="118"/>
      <x:c r="E25" s="118"/>
      <x:c r="F25" s="118"/>
      <x:c r="G25" s="118"/>
      <x:c r="H25" s="118"/>
      <x:c r="I25" s="118"/>
      <x:c r="J25" s="118"/>
      <x:c r="K25" s="2"/>
      <x:c r="L25" s="2"/>
    </x:row>
    <x:row r="26" ht="20" hidden="0" customHeight="1">
      <x:c r="A26" s="90"/>
      <x:c r="B26" s="90"/>
      <x:c r="C26" s="90"/>
      <x:c r="D26" s="90"/>
      <x:c r="E26" s="90"/>
      <x:c r="F26" s="90"/>
      <x:c r="G26" s="90"/>
      <x:c r="H26" s="90"/>
      <x:c r="I26" s="90"/>
      <x:c r="J26" s="90"/>
      <x:c r="K26" s="2"/>
      <x:c r="L26" s="2"/>
    </x:row>
    <x:row r="27" ht="20" hidden="0" customHeight="1">
      <x:c r="A27" s="90"/>
      <x:c r="B27" s="90"/>
      <x:c r="C27" s="90"/>
      <x:c r="D27" s="90"/>
      <x:c r="E27" s="90"/>
      <x:c r="F27" s="90"/>
      <x:c r="G27" s="90"/>
      <x:c r="H27" s="90"/>
      <x:c r="I27" s="90"/>
      <x:c r="J27" s="90"/>
      <x:c r="K27" s="2"/>
      <x:c r="L27" s="2"/>
    </x:row>
    <x:row r="28" ht="20" hidden="0" customHeight="1">
      <x:c r="A28" s="90"/>
      <x:c r="B28" s="90"/>
      <x:c r="C28" s="90"/>
      <x:c r="D28" s="90"/>
      <x:c r="E28" s="90"/>
      <x:c r="F28" s="90"/>
      <x:c r="G28" s="90"/>
      <x:c r="H28" s="90"/>
      <x:c r="I28" s="90"/>
      <x:c r="J28" s="90"/>
      <x:c r="K28" s="2"/>
      <x:c r="L28" s="2"/>
    </x:row>
    <x:row r="29" ht="20" hidden="0" customHeight="1">
      <x:c r="A29" s="90"/>
      <x:c r="B29" s="90"/>
      <x:c r="C29" s="90"/>
      <x:c r="D29" s="90"/>
      <x:c r="E29" s="90"/>
      <x:c r="F29" s="90"/>
      <x:c r="G29" s="90"/>
      <x:c r="H29" s="90"/>
      <x:c r="I29" s="90"/>
      <x:c r="J29" s="90"/>
      <x:c r="K29" s="2"/>
      <x:c r="L29" s="2"/>
    </x:row>
    <x:row r="30" ht="20" hidden="0" customHeight="1">
      <x:c r="A30" s="90"/>
      <x:c r="B30" s="90"/>
      <x:c r="C30" s="90"/>
      <x:c r="D30" s="90"/>
      <x:c r="E30" s="90"/>
      <x:c r="F30" s="90"/>
      <x:c r="G30" s="90"/>
      <x:c r="H30" s="90"/>
      <x:c r="I30" s="90"/>
      <x:c r="J30" s="90"/>
      <x:c r="K30" s="2"/>
      <x:c r="L30" s="2"/>
    </x:row>
    <x:row r="31" ht="20" hidden="0" customHeight="1">
      <x:c r="A31" s="90"/>
      <x:c r="B31" s="90"/>
      <x:c r="C31" s="90"/>
      <x:c r="D31" s="90"/>
      <x:c r="E31" s="90"/>
      <x:c r="F31" s="90"/>
      <x:c r="G31" s="90"/>
      <x:c r="H31" s="90"/>
      <x:c r="I31" s="90"/>
      <x:c r="J31" s="90"/>
      <x:c r="K31" s="2"/>
      <x:c r="L31" s="2"/>
    </x:row>
    <x:row r="32" ht="20" hidden="0" customHeight="1">
      <x:c r="A32" s="90"/>
      <x:c r="B32" s="90"/>
      <x:c r="C32" s="90"/>
      <x:c r="D32" s="90"/>
      <x:c r="E32" s="90"/>
      <x:c r="F32" s="90"/>
      <x:c r="G32" s="90"/>
      <x:c r="H32" s="90"/>
      <x:c r="I32" s="90"/>
      <x:c r="J32" s="90"/>
      <x:c r="K32" s="2"/>
      <x:c r="L32" s="2"/>
    </x:row>
    <x:row r="33" ht="20" hidden="0" customHeight="1">
      <x:c r="A33" s="90"/>
      <x:c r="B33" s="90"/>
      <x:c r="C33" s="90"/>
      <x:c r="D33" s="90"/>
      <x:c r="E33" s="90"/>
      <x:c r="F33" s="90"/>
      <x:c r="G33" s="90"/>
      <x:c r="H33" s="90"/>
      <x:c r="I33" s="90"/>
      <x:c r="J33" s="90"/>
      <x:c r="K33" s="2"/>
      <x:c r="L33" s="2"/>
    </x:row>
    <x:row r="34" ht="20" hidden="0" customHeight="1">
      <x:c r="A34" s="90"/>
      <x:c r="B34" s="90"/>
      <x:c r="C34" s="90"/>
      <x:c r="D34" s="90"/>
      <x:c r="E34" s="90"/>
      <x:c r="F34" s="90"/>
      <x:c r="G34" s="90"/>
      <x:c r="H34" s="90"/>
      <x:c r="I34" s="90"/>
      <x:c r="J34" s="90"/>
      <x:c r="K34" s="2"/>
      <x:c r="L34" s="2"/>
    </x:row>
    <x:row r="35" ht="20" hidden="0" customHeight="1">
      <x:c r="A35" s="90"/>
      <x:c r="B35" s="90"/>
      <x:c r="C35" s="90"/>
      <x:c r="D35" s="90"/>
      <x:c r="E35" s="90"/>
      <x:c r="F35" s="90"/>
      <x:c r="G35" s="90"/>
      <x:c r="H35" s="90"/>
      <x:c r="I35" s="90"/>
      <x:c r="J35" s="90"/>
      <x:c r="K35" s="2"/>
      <x:c r="L35" s="2"/>
    </x:row>
    <x:row r="36" ht="20" hidden="0" customHeight="1">
      <x:c r="A36" s="90"/>
      <x:c r="B36" s="90"/>
      <x:c r="C36" s="90"/>
      <x:c r="D36" s="90"/>
      <x:c r="E36" s="90"/>
      <x:c r="F36" s="90"/>
      <x:c r="G36" s="90"/>
      <x:c r="H36" s="90"/>
      <x:c r="I36" s="90"/>
      <x:c r="J36" s="90"/>
      <x:c r="K36" s="2"/>
      <x:c r="L36" s="2"/>
    </x:row>
    <x:row r="37" ht="20" hidden="0" customHeight="1">
      <x:c r="A37" s="90"/>
      <x:c r="B37" s="90"/>
      <x:c r="C37" s="90"/>
      <x:c r="D37" s="90"/>
      <x:c r="E37" s="90"/>
      <x:c r="F37" s="90"/>
      <x:c r="G37" s="90"/>
      <x:c r="H37" s="90"/>
      <x:c r="I37" s="90"/>
      <x:c r="J37" s="90"/>
      <x:c r="K37" s="2"/>
      <x:c r="L37" s="2"/>
    </x:row>
    <x:row r="38" ht="15" hidden="0">
      <x:c r="A38" s="2"/>
      <x:c r="B38" s="2"/>
      <x:c r="C38" s="2"/>
      <x:c r="D38" s="2"/>
      <x:c r="E38" s="2"/>
      <x:c r="F38" s="2"/>
      <x:c r="G38" s="2"/>
      <x:c r="H38" s="2"/>
      <x:c r="I38" s="2"/>
      <x:c r="J38" s="2"/>
      <x:c r="K38" s="2"/>
      <x:c r="L38" s="2"/>
    </x:row>
    <x:row r="39" ht="15" hidden="0">
      <x:c r="A39" s="2"/>
      <x:c r="B39" s="2"/>
      <x:c r="C39" s="2"/>
      <x:c r="D39" s="2"/>
      <x:c r="E39" s="2"/>
      <x:c r="F39" s="2"/>
      <x:c r="G39" s="2"/>
      <x:c r="H39" s="2"/>
      <x:c r="I39" s="2"/>
      <x:c r="J39" s="2"/>
      <x:c r="K39" s="2"/>
      <x:c r="L39" s="2"/>
    </x:row>
    <x:row r="40" ht="15" hidden="0">
      <x:c r="A40" s="2"/>
      <x:c r="B40" s="2"/>
      <x:c r="C40" s="2"/>
      <x:c r="D40" s="2"/>
      <x:c r="E40" s="2"/>
      <x:c r="F40" s="2"/>
      <x:c r="G40" s="2"/>
      <x:c r="H40" s="2"/>
      <x:c r="I40" s="2"/>
      <x:c r="J40" s="2"/>
      <x:c r="K40" s="2"/>
      <x:c r="L40" s="2"/>
    </x:row>
    <x:row r="41" ht="15" hidden="0">
      <x:c r="A41" s="2"/>
      <x:c r="B41" s="2"/>
      <x:c r="C41" s="2"/>
      <x:c r="D41" s="2"/>
      <x:c r="E41" s="2"/>
      <x:c r="F41" s="2"/>
      <x:c r="G41" s="2"/>
      <x:c r="H41" s="2"/>
      <x:c r="I41" s="2"/>
      <x:c r="J41" s="2"/>
      <x:c r="K41" s="2"/>
      <x:c r="L41" s="2"/>
    </x:row>
    <x:row r="42" ht="15" hidden="0">
      <x:c r="A42" s="2"/>
      <x:c r="B42" s="2"/>
      <x:c r="C42" s="2"/>
      <x:c r="D42" s="2"/>
      <x:c r="E42" s="2"/>
      <x:c r="F42" s="2"/>
      <x:c r="G42" s="2"/>
      <x:c r="H42" s="2"/>
      <x:c r="I42" s="2"/>
      <x:c r="J42" s="2"/>
      <x:c r="K42" s="2"/>
      <x:c r="L42" s="2"/>
    </x:row>
    <x:row r="43" ht="15" hidden="0">
      <x:c r="A43" s="2"/>
      <x:c r="B43" s="2"/>
      <x:c r="C43" s="2"/>
      <x:c r="D43" s="2"/>
      <x:c r="E43" s="2"/>
      <x:c r="F43" s="2"/>
      <x:c r="G43" s="2"/>
      <x:c r="H43" s="2"/>
      <x:c r="I43" s="2"/>
      <x:c r="J43" s="2"/>
      <x:c r="K43" s="2"/>
      <x:c r="L43" s="2"/>
    </x:row>
    <x:row r="44" ht="15" hidden="0">
      <x:c r="A44" s="2"/>
      <x:c r="B44" s="2"/>
      <x:c r="C44" s="2"/>
      <x:c r="D44" s="2"/>
      <x:c r="E44" s="2"/>
      <x:c r="F44" s="2"/>
      <x:c r="G44" s="2"/>
      <x:c r="H44" s="2"/>
      <x:c r="I44" s="2"/>
      <x:c r="J44" s="2"/>
      <x:c r="K44" s="2"/>
      <x:c r="L44" s="2"/>
    </x:row>
    <x:row r="45" ht="15" hidden="0">
      <x:c r="A45" s="2"/>
      <x:c r="B45" s="2"/>
      <x:c r="C45" s="2"/>
      <x:c r="D45" s="2"/>
      <x:c r="E45" s="2"/>
      <x:c r="F45" s="2"/>
      <x:c r="G45" s="2"/>
      <x:c r="H45" s="2"/>
      <x:c r="I45" s="2"/>
      <x:c r="J45" s="2"/>
      <x:c r="K45" s="2"/>
      <x:c r="L45" s="2"/>
    </x:row>
    <x:row r="46" ht="15" hidden="0">
      <x:c r="A46" s="2"/>
      <x:c r="B46" s="2"/>
      <x:c r="C46" s="2"/>
      <x:c r="D46" s="2"/>
      <x:c r="E46" s="2"/>
      <x:c r="F46" s="2"/>
      <x:c r="G46" s="2"/>
      <x:c r="H46" s="2"/>
      <x:c r="I46" s="2"/>
      <x:c r="J46" s="2"/>
      <x:c r="K46" s="2"/>
      <x:c r="L46" s="2"/>
    </x:row>
    <x:row r="47" ht="15" hidden="0">
      <x:c r="A47" s="2"/>
      <x:c r="B47" s="2"/>
      <x:c r="C47" s="2"/>
      <x:c r="D47" s="2"/>
      <x:c r="E47" s="2"/>
      <x:c r="F47" s="2"/>
      <x:c r="G47" s="2"/>
      <x:c r="H47" s="2"/>
      <x:c r="I47" s="2"/>
      <x:c r="J47" s="2"/>
      <x:c r="K47" s="2"/>
      <x:c r="L47" s="2"/>
    </x:row>
    <x:row r="48" ht="15" hidden="0">
      <x:c r="A48" s="2"/>
      <x:c r="B48" s="2"/>
      <x:c r="C48" s="2"/>
      <x:c r="D48" s="2"/>
      <x:c r="E48" s="2"/>
      <x:c r="F48" s="2"/>
      <x:c r="G48" s="2"/>
      <x:c r="H48" s="2"/>
      <x:c r="I48" s="2"/>
      <x:c r="J48" s="2"/>
      <x:c r="K48" s="2"/>
      <x:c r="L48" s="2"/>
    </x:row>
    <x:row r="49" ht="15" hidden="0">
      <x:c r="A49" s="2"/>
      <x:c r="B49" s="2"/>
      <x:c r="C49" s="2"/>
      <x:c r="D49" s="2"/>
      <x:c r="E49" s="2"/>
      <x:c r="F49" s="2"/>
      <x:c r="G49" s="2"/>
      <x:c r="H49" s="2"/>
      <x:c r="I49" s="2"/>
      <x:c r="J49" s="2"/>
      <x:c r="K49" s="2"/>
      <x:c r="L49" s="2"/>
    </x:row>
    <x:row r="50" ht="15" hidden="0">
      <x:c r="A50" s="2"/>
      <x:c r="B50" s="2"/>
      <x:c r="C50" s="2"/>
      <x:c r="D50" s="2"/>
      <x:c r="E50" s="2"/>
      <x:c r="F50" s="2"/>
      <x:c r="G50" s="2"/>
      <x:c r="H50" s="2"/>
      <x:c r="I50" s="2"/>
      <x:c r="J50" s="2"/>
      <x:c r="K50" s="2"/>
      <x:c r="L50" s="2"/>
    </x:row>
    <x:row r="51" ht="15" hidden="0">
      <x:c r="A51" s="2"/>
      <x:c r="B51" s="2"/>
      <x:c r="C51" s="2"/>
      <x:c r="D51" s="2"/>
      <x:c r="E51" s="2"/>
      <x:c r="F51" s="2"/>
      <x:c r="G51" s="2"/>
      <x:c r="H51" s="2"/>
      <x:c r="I51" s="2"/>
      <x:c r="J51" s="2"/>
      <x:c r="K51" s="2"/>
      <x:c r="L51" s="2"/>
    </x:row>
    <x:row r="52" ht="15" hidden="0">
      <x:c r="A52" s="2"/>
      <x:c r="B52" s="2"/>
      <x:c r="C52" s="2"/>
      <x:c r="D52" s="2"/>
      <x:c r="E52" s="2"/>
      <x:c r="F52" s="2"/>
      <x:c r="G52" s="2"/>
      <x:c r="H52" s="2"/>
      <x:c r="I52" s="2"/>
      <x:c r="J52" s="2"/>
      <x:c r="K52" s="2"/>
      <x:c r="L52" s="2"/>
    </x:row>
    <x:row r="53" ht="15" hidden="0">
      <x:c r="A53" s="2"/>
      <x:c r="B53" s="2"/>
      <x:c r="C53" s="2"/>
      <x:c r="D53" s="2"/>
      <x:c r="E53" s="2"/>
      <x:c r="F53" s="2"/>
      <x:c r="G53" s="2"/>
      <x:c r="H53" s="2"/>
      <x:c r="I53" s="2"/>
      <x:c r="J53" s="2"/>
      <x:c r="K53" s="2"/>
      <x:c r="L53" s="2"/>
    </x:row>
    <x:row r="54" ht="15" hidden="0">
      <x:c r="A54" s="2"/>
      <x:c r="B54" s="2"/>
      <x:c r="C54" s="2"/>
      <x:c r="D54" s="2"/>
      <x:c r="E54" s="2"/>
      <x:c r="F54" s="2"/>
      <x:c r="G54" s="2"/>
      <x:c r="H54" s="2"/>
      <x:c r="I54" s="2"/>
      <x:c r="J54" s="2"/>
      <x:c r="K54" s="2"/>
      <x:c r="L54" s="2"/>
    </x:row>
    <x:row r="55" ht="15" hidden="0">
      <x:c r="A55" s="2"/>
      <x:c r="B55" s="2"/>
      <x:c r="C55" s="2"/>
      <x:c r="D55" s="2"/>
      <x:c r="E55" s="2"/>
      <x:c r="F55" s="2"/>
      <x:c r="G55" s="2"/>
      <x:c r="H55" s="2"/>
      <x:c r="I55" s="2"/>
      <x:c r="J55" s="2"/>
      <x:c r="K55" s="2"/>
      <x:c r="L55" s="2"/>
    </x:row>
    <x:row r="56" ht="15" hidden="0">
      <x:c r="A56" s="2"/>
      <x:c r="B56" s="2"/>
      <x:c r="C56" s="2"/>
      <x:c r="D56" s="2"/>
      <x:c r="E56" s="2"/>
      <x:c r="F56" s="2"/>
      <x:c r="G56" s="2"/>
      <x:c r="H56" s="2"/>
      <x:c r="I56" s="2"/>
      <x:c r="J56" s="2"/>
      <x:c r="K56" s="2"/>
      <x:c r="L56" s="2"/>
    </x:row>
    <x:row r="57" ht="15" hidden="0">
      <x:c r="A57" s="2"/>
      <x:c r="B57" s="2"/>
      <x:c r="C57" s="2"/>
      <x:c r="D57" s="2"/>
      <x:c r="E57" s="2"/>
      <x:c r="F57" s="2"/>
      <x:c r="G57" s="2"/>
      <x:c r="H57" s="2"/>
      <x:c r="I57" s="2"/>
      <x:c r="J57" s="2"/>
      <x:c r="K57" s="2"/>
      <x:c r="L57" s="2"/>
    </x:row>
    <x:row r="58" ht="15" hidden="0">
      <x:c r="A58" s="2"/>
      <x:c r="B58" s="2"/>
      <x:c r="C58" s="2"/>
      <x:c r="D58" s="2"/>
      <x:c r="E58" s="2"/>
      <x:c r="F58" s="2"/>
      <x:c r="G58" s="2"/>
      <x:c r="H58" s="2"/>
      <x:c r="I58" s="2"/>
      <x:c r="J58" s="2"/>
      <x:c r="K58" s="2"/>
      <x:c r="L58" s="2"/>
    </x:row>
    <x:row r="59" ht="15" hidden="0">
      <x:c r="A59" s="2"/>
      <x:c r="B59" s="2"/>
      <x:c r="C59" s="2"/>
      <x:c r="D59" s="2"/>
      <x:c r="E59" s="2"/>
      <x:c r="F59" s="2"/>
      <x:c r="G59" s="2"/>
      <x:c r="H59" s="2"/>
      <x:c r="I59" s="2"/>
      <x:c r="J59" s="2"/>
      <x:c r="K59" s="2"/>
      <x:c r="L59" s="2"/>
    </x:row>
    <x:row r="60" ht="15" hidden="0">
      <x:c r="A60" s="2"/>
      <x:c r="B60" s="2"/>
      <x:c r="C60" s="2"/>
      <x:c r="D60" s="2"/>
      <x:c r="E60" s="2"/>
      <x:c r="F60" s="2"/>
      <x:c r="G60" s="2"/>
      <x:c r="H60" s="2"/>
      <x:c r="I60" s="2"/>
      <x:c r="J60" s="2"/>
      <x:c r="K60" s="2"/>
      <x:c r="L60" s="2"/>
    </x:row>
  </x:sheetData>
  <x:mergeCells>
    <x:mergeCell ref="A1:J1"/>
    <x:mergeCell ref="B2:J3"/>
    <x:mergeCell ref="B22:J25"/>
  </x:mergeCells>
  <x:pageMargins left="0.7" right="0.7" top="0.75" bottom="0.75" header="0.3" footer="0.3"/>
</x:worksheet>
</file>

<file path=xl/worksheets/sheet13.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4" width="16" hidden="0" customWidth="1"/>
    <x:col min="5" max="5" width="17" hidden="0" customWidth="1"/>
    <x:col min="3" max="3" width="17" hidden="0" customWidth="1"/>
    <x:col min="4" max="4"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SOURCES AND CONVENTIONS</x:v>
      </x:c>
      <x:c r="B1" s="113"/>
      <x:c r="C1" s="113"/>
      <x:c r="D1" s="113"/>
      <x:c r="E1" s="113"/>
      <x:c r="F1" s="113"/>
      <x:c r="G1" s="113"/>
      <x:c r="H1" s="113"/>
      <x:c r="I1" s="114"/>
      <x:c r="J1" s="114"/>
    </x:row>
    <x:row r="2" ht="20" hidden="0" customHeight="1">
      <x:c r="A2" s="103"/>
      <x:c r="B2" s="117" t="str">
        <x:v>Primary financial sources, ownership definitions and model assumptions.</x:v>
      </x:c>
      <x:c r="C2" s="117"/>
      <x:c r="D2" s="117"/>
      <x:c r="E2" s="117"/>
      <x:c r="F2" s="117"/>
      <x:c r="G2" s="117"/>
      <x:c r="H2" s="117"/>
      <x:c r="I2" s="118"/>
      <x:c r="J2" s="118"/>
    </x:row>
    <x:row r="3" ht="20" hidden="0" customHeight="1">
      <x:c r="A3" s="90"/>
      <x:c r="B3" s="118"/>
      <x:c r="C3" s="118"/>
      <x:c r="D3" s="118"/>
      <x:c r="E3" s="118"/>
      <x:c r="F3" s="118"/>
      <x:c r="G3" s="118"/>
      <x:c r="H3" s="118"/>
      <x:c r="I3" s="118"/>
      <x:c r="J3" s="118"/>
    </x:row>
    <x:row r="4" ht="20" hidden="0" customHeight="1">
      <x:c r="A4" s="88"/>
      <x:c r="B4" s="88"/>
      <x:c r="C4" s="88"/>
      <x:c r="D4" s="88"/>
      <x:c r="E4" s="88"/>
      <x:c r="F4" s="88"/>
      <x:c r="G4" s="88"/>
      <x:c r="H4" s="88"/>
      <x:c r="I4" s="90"/>
      <x:c r="J4" s="90"/>
    </x:row>
    <x:row r="5" ht="24" hidden="0" customHeight="1">
      <x:c r="A5" s="90"/>
      <x:c r="B5" s="121" t="str">
        <x:v>REPORTED FINANCIAL SOURCES</x:v>
      </x:c>
      <x:c r="C5" s="121"/>
      <x:c r="D5" s="121"/>
      <x:c r="E5" s="121"/>
      <x:c r="F5" s="121"/>
      <x:c r="G5" s="121"/>
      <x:c r="H5" s="121"/>
      <x:c r="I5" s="121"/>
      <x:c r="J5" s="121"/>
    </x:row>
    <x:row r="6" ht="20" hidden="0" customHeight="1">
      <x:c r="A6" s="90"/>
      <x:c r="B6" s="90"/>
      <x:c r="C6" s="90"/>
      <x:c r="D6" s="90"/>
      <x:c r="E6" s="166"/>
      <x:c r="F6" s="90"/>
      <x:c r="G6" s="90"/>
      <x:c r="H6" s="90"/>
      <x:c r="I6" s="90"/>
      <x:c r="J6" s="90"/>
    </x:row>
    <x:row r="7" ht="20" hidden="0" customHeight="1">
      <x:c r="A7" s="90"/>
      <x:c r="B7" s="118" t="str">
        <x:v>Q2 2026 results, August 10, 2026: financial statements, NCI reconciliation, debt, cash, physician distributions and FY2026 guidance.
https://ir.surgerypartners.com/news-releases/news-release-details/surgery-partners-inc-announces-second-quarter-2026-results</x:v>
      </x:c>
      <x:c r="C7" s="118"/>
      <x:c r="D7" s="118"/>
      <x:c r="E7" s="166"/>
      <x:c r="F7" s="118"/>
      <x:c r="G7" s="118"/>
      <x:c r="H7" s="118"/>
      <x:c r="I7" s="118"/>
      <x:c r="J7" s="118"/>
    </x:row>
    <x:row r="8" ht="20" hidden="0" customHeight="1">
      <x:c r="A8" s="90"/>
      <x:c r="B8" s="118"/>
      <x:c r="C8" s="118"/>
      <x:c r="D8" s="118"/>
      <x:c r="E8" s="166"/>
      <x:c r="F8" s="118"/>
      <x:c r="G8" s="118"/>
      <x:c r="H8" s="118"/>
      <x:c r="I8" s="118"/>
      <x:c r="J8" s="118"/>
    </x:row>
    <x:row r="9" ht="20" hidden="0" customHeight="1">
      <x:c r="A9" s="90"/>
      <x:c r="B9" s="118"/>
      <x:c r="C9" s="118"/>
      <x:c r="D9" s="118"/>
      <x:c r="E9" s="166"/>
      <x:c r="F9" s="118"/>
      <x:c r="G9" s="118"/>
      <x:c r="H9" s="118"/>
      <x:c r="I9" s="118"/>
      <x:c r="J9" s="118"/>
    </x:row>
    <x:row r="10" ht="20" hidden="0" customHeight="1">
      <x:c r="A10" s="90"/>
      <x:c r="B10" s="118"/>
      <x:c r="C10" s="118"/>
      <x:c r="D10" s="118"/>
      <x:c r="E10" s="166"/>
      <x:c r="F10" s="118"/>
      <x:c r="G10" s="118"/>
      <x:c r="H10" s="118"/>
      <x:c r="I10" s="118"/>
      <x:c r="J10" s="118"/>
    </x:row>
    <x:row r="11" ht="20" hidden="0" customHeight="1">
      <x:c r="A11" s="90"/>
      <x:c r="B11" s="118"/>
      <x:c r="C11" s="118"/>
      <x:c r="D11" s="118"/>
      <x:c r="E11" s="166"/>
      <x:c r="F11" s="118"/>
      <x:c r="G11" s="118"/>
      <x:c r="H11" s="118"/>
      <x:c r="I11" s="118"/>
      <x:c r="J11" s="118"/>
    </x:row>
    <x:row r="12" ht="20" hidden="0" customHeight="1">
      <x:c r="A12" s="90"/>
      <x:c r="B12" s="90"/>
      <x:c r="C12" s="90"/>
      <x:c r="D12" s="90"/>
      <x:c r="E12" s="166"/>
      <x:c r="F12" s="90"/>
      <x:c r="G12" s="90"/>
      <x:c r="H12" s="90"/>
      <x:c r="I12" s="90"/>
      <x:c r="J12" s="90"/>
    </x:row>
    <x:row r="13" ht="20" hidden="0" customHeight="1">
      <x:c r="A13" s="90"/>
      <x:c r="B13" s="90"/>
      <x:c r="C13" s="90"/>
      <x:c r="D13" s="90"/>
      <x:c r="E13" s="90"/>
      <x:c r="F13" s="90"/>
      <x:c r="G13" s="90"/>
      <x:c r="H13" s="90"/>
      <x:c r="I13" s="90"/>
      <x:c r="J13" s="90"/>
    </x:row>
    <x:row r="14" ht="20" hidden="0" customHeight="1">
      <x:c r="A14" s="88"/>
      <x:c r="B14" s="199" t="str">
        <x:v>FY2025 results, March 2, 2026: FY2024–2025 comparatives, NCI earnings and distributions, full-year cash flow and company Adjusted EBITDA.
https://ir.surgerypartners.com/news-releases/news-release-details/surgery-partners-inc-announces-fourth-quarter-and-full-year-2025</x:v>
      </x:c>
      <x:c r="C14" s="199"/>
      <x:c r="D14" s="199"/>
      <x:c r="E14" s="199"/>
      <x:c r="F14" s="199"/>
      <x:c r="G14" s="199"/>
      <x:c r="H14" s="199"/>
      <x:c r="I14" s="118"/>
      <x:c r="J14" s="118"/>
    </x:row>
    <x:row r="15" ht="20" hidden="0" customHeight="1">
      <x:c r="A15" s="90"/>
      <x:c r="B15" s="199"/>
      <x:c r="C15" s="118"/>
      <x:c r="D15" s="118"/>
      <x:c r="E15" s="166"/>
      <x:c r="F15" s="118"/>
      <x:c r="G15" s="118"/>
      <x:c r="H15" s="118"/>
      <x:c r="I15" s="118"/>
      <x:c r="J15" s="118"/>
    </x:row>
    <x:row r="16" ht="20" hidden="0" customHeight="1">
      <x:c r="A16" s="90"/>
      <x:c r="B16" s="199"/>
      <x:c r="C16" s="118"/>
      <x:c r="D16" s="118"/>
      <x:c r="E16" s="166"/>
      <x:c r="F16" s="118"/>
      <x:c r="G16" s="118"/>
      <x:c r="H16" s="118"/>
      <x:c r="I16" s="118"/>
      <x:c r="J16" s="118"/>
    </x:row>
    <x:row r="17" ht="20" hidden="0" customHeight="1">
      <x:c r="A17" s="90"/>
      <x:c r="B17" s="199"/>
      <x:c r="C17" s="118"/>
      <x:c r="D17" s="118"/>
      <x:c r="E17" s="166"/>
      <x:c r="F17" s="118"/>
      <x:c r="G17" s="118"/>
      <x:c r="H17" s="118"/>
      <x:c r="I17" s="118"/>
      <x:c r="J17" s="118"/>
    </x:row>
    <x:row r="18" ht="20" hidden="0" customHeight="1">
      <x:c r="A18" s="90"/>
      <x:c r="B18" s="199"/>
      <x:c r="C18" s="118"/>
      <x:c r="D18" s="118"/>
      <x:c r="E18" s="166"/>
      <x:c r="F18" s="118"/>
      <x:c r="G18" s="118"/>
      <x:c r="H18" s="118"/>
      <x:c r="I18" s="118"/>
      <x:c r="J18" s="118"/>
    </x:row>
    <x:row r="19" ht="20" hidden="0" customHeight="1">
      <x:c r="A19" s="90"/>
      <x:c r="B19" s="88"/>
      <x:c r="C19" s="90"/>
      <x:c r="D19" s="90"/>
      <x:c r="E19" s="166"/>
      <x:c r="F19" s="90"/>
      <x:c r="G19" s="90"/>
      <x:c r="H19" s="90"/>
      <x:c r="I19" s="90"/>
      <x:c r="J19" s="90"/>
    </x:row>
    <x:row r="20" ht="20" hidden="0" customHeight="1">
      <x:c r="A20" s="90"/>
      <x:c r="B20" s="90"/>
      <x:c r="C20" s="90"/>
      <x:c r="D20" s="90"/>
      <x:c r="E20" s="90"/>
      <x:c r="F20" s="90"/>
      <x:c r="G20" s="90"/>
      <x:c r="H20" s="90"/>
      <x:c r="I20" s="90"/>
      <x:c r="J20" s="90"/>
    </x:row>
    <x:row r="21" ht="24" hidden="0" customHeight="1">
      <x:c r="A21" s="88"/>
      <x:c r="B21" s="121" t="str">
        <x:v>ASSUMPTIONS</x:v>
      </x:c>
      <x:c r="C21" s="121"/>
      <x:c r="D21" s="121"/>
      <x:c r="E21" s="121"/>
      <x:c r="F21" s="121"/>
      <x:c r="G21" s="121"/>
      <x:c r="H21" s="121"/>
      <x:c r="I21" s="121"/>
      <x:c r="J21" s="121"/>
    </x:row>
    <x:row r="22" ht="20" hidden="0" customHeight="1">
      <x:c r="A22" s="90"/>
      <x:c r="B22" s="103"/>
      <x:c r="C22" s="103"/>
      <x:c r="D22" s="103"/>
      <x:c r="E22" s="103"/>
      <x:c r="F22" s="103"/>
      <x:c r="G22" s="103"/>
      <x:c r="H22" s="103"/>
      <x:c r="I22" s="90"/>
      <x:c r="J22" s="90"/>
    </x:row>
    <x:row r="23" ht="20" hidden="0" customHeight="1">
      <x:c r="A23" s="90"/>
      <x:c r="B23" s="117" t="str">
        <x:v>Market and peer snapshots: September 4, 2026 assumptions. Financial history uses annual earnings releases and comparative tables. Source links are included in cell comments.</x:v>
      </x:c>
      <x:c r="C23" s="117"/>
      <x:c r="D23" s="117"/>
      <x:c r="E23" s="117"/>
      <x:c r="F23" s="117"/>
      <x:c r="G23" s="117"/>
      <x:c r="H23" s="117"/>
      <x:c r="I23" s="118"/>
      <x:c r="J23" s="118"/>
    </x:row>
    <x:row r="24" ht="20" hidden="0" customHeight="1">
      <x:c r="A24" s="90"/>
      <x:c r="B24" s="117"/>
      <x:c r="C24" s="117"/>
      <x:c r="D24" s="117"/>
      <x:c r="E24" s="117"/>
      <x:c r="F24" s="117"/>
      <x:c r="G24" s="117"/>
      <x:c r="H24" s="117"/>
      <x:c r="I24" s="118"/>
      <x:c r="J24" s="118"/>
    </x:row>
    <x:row r="25" ht="20" hidden="0" customHeight="1">
      <x:c r="A25" s="90"/>
      <x:c r="B25" s="117"/>
      <x:c r="C25" s="117"/>
      <x:c r="D25" s="117"/>
      <x:c r="E25" s="117"/>
      <x:c r="F25" s="117"/>
      <x:c r="G25" s="117"/>
      <x:c r="H25" s="117"/>
      <x:c r="I25" s="118"/>
      <x:c r="J25" s="118"/>
    </x:row>
    <x:row r="26" ht="20" hidden="0" customHeight="1">
      <x:c r="A26" s="90"/>
      <x:c r="B26" s="90"/>
      <x:c r="C26" s="90"/>
      <x:c r="D26" s="90"/>
      <x:c r="E26" s="90"/>
      <x:c r="F26" s="90"/>
      <x:c r="G26" s="90"/>
      <x:c r="H26" s="90"/>
      <x:c r="I26" s="90"/>
      <x:c r="J26" s="90"/>
    </x:row>
    <x:row r="27" ht="20" hidden="0" customHeight="1">
      <x:c r="A27" s="90"/>
      <x:c r="B27" s="90"/>
      <x:c r="C27" s="90"/>
      <x:c r="D27" s="90"/>
      <x:c r="E27" s="90"/>
      <x:c r="F27" s="90"/>
      <x:c r="G27" s="90"/>
      <x:c r="H27" s="90"/>
      <x:c r="I27" s="90"/>
      <x:c r="J27" s="90"/>
    </x:row>
    <x:row r="28" ht="20" hidden="0" customHeight="1">
      <x:c r="A28" s="90"/>
      <x:c r="B28" s="118" t="str">
        <x:v>Ownership: company Adjusted EBITDA deducts NCI net income. DCF adds back that earnings allocation and deducts physician cash distributions, then values the remaining parent/debt claim. Consolidated comparables use GAAP EBITDA and deduct an NCI valuation assumption once.</x:v>
      </x:c>
      <x:c r="C28" s="118"/>
      <x:c r="D28" s="118"/>
      <x:c r="E28" s="118"/>
      <x:c r="F28" s="118"/>
      <x:c r="G28" s="118"/>
      <x:c r="H28" s="118"/>
      <x:c r="I28" s="118"/>
      <x:c r="J28" s="118"/>
    </x:row>
    <x:row r="29" ht="20" hidden="0" customHeight="1">
      <x:c r="A29" s="90"/>
      <x:c r="B29" s="118"/>
      <x:c r="C29" s="118"/>
      <x:c r="D29" s="118"/>
      <x:c r="E29" s="118"/>
      <x:c r="F29" s="118"/>
      <x:c r="G29" s="118"/>
      <x:c r="H29" s="118"/>
      <x:c r="I29" s="118"/>
      <x:c r="J29" s="118"/>
    </x:row>
    <x:row r="30" ht="20" hidden="0" customHeight="1">
      <x:c r="A30" s="90"/>
      <x:c r="B30" s="118"/>
      <x:c r="C30" s="118"/>
      <x:c r="D30" s="118"/>
      <x:c r="E30" s="118"/>
      <x:c r="F30" s="118"/>
      <x:c r="G30" s="118"/>
      <x:c r="H30" s="118"/>
      <x:c r="I30" s="118"/>
      <x:c r="J30" s="118"/>
    </x:row>
    <x:row r="31" ht="20" hidden="0" customHeight="1">
      <x:c r="A31" s="90"/>
      <x:c r="B31" s="118"/>
      <x:c r="C31" s="118"/>
      <x:c r="D31" s="118"/>
      <x:c r="E31" s="118"/>
      <x:c r="F31" s="118"/>
      <x:c r="G31" s="118"/>
      <x:c r="H31" s="118"/>
      <x:c r="I31" s="118"/>
      <x:c r="J31" s="118"/>
    </x:row>
    <x:row r="32" ht="20" hidden="0" customHeight="1">
      <x:c r="A32" s="90"/>
      <x:c r="B32" s="90"/>
      <x:c r="C32" s="90"/>
      <x:c r="D32" s="90"/>
      <x:c r="E32" s="90"/>
      <x:c r="F32" s="90"/>
      <x:c r="G32" s="90"/>
      <x:c r="H32" s="90"/>
      <x:c r="I32" s="90"/>
      <x:c r="J32" s="90"/>
    </x:row>
    <x:row r="33" ht="20" hidden="0" customHeight="1">
      <x:c r="A33" s="90"/>
      <x:c r="B33" s="90"/>
      <x:c r="C33" s="90"/>
      <x:c r="D33" s="90"/>
      <x:c r="E33" s="90"/>
      <x:c r="F33" s="90"/>
      <x:c r="G33" s="90"/>
      <x:c r="H33" s="90"/>
      <x:c r="I33" s="90"/>
      <x:c r="J33" s="90"/>
    </x:row>
    <x:row r="34" ht="20" hidden="0" customHeight="1">
      <x:c r="A34" s="90"/>
      <x:c r="B34" s="118" t="str">
        <x:v>Cash flow: stock compensation and recurring excluded costs remain expenses. Parent taxes are modeled without immediate refunds for losses. Terminal capex covers D&amp;A and incremental growth investment. Forecast cash and debt are explicit schedules, not a projected GAAP balance sheet.</x:v>
      </x:c>
      <x:c r="C34" s="118"/>
      <x:c r="D34" s="118"/>
      <x:c r="E34" s="118"/>
      <x:c r="F34" s="118"/>
      <x:c r="G34" s="118"/>
      <x:c r="H34" s="118"/>
      <x:c r="I34" s="118"/>
      <x:c r="J34" s="118"/>
    </x:row>
    <x:row r="35" ht="20" hidden="0" customHeight="1">
      <x:c r="A35" s="90"/>
      <x:c r="B35" s="118"/>
      <x:c r="C35" s="118"/>
      <x:c r="D35" s="118"/>
      <x:c r="E35" s="118"/>
      <x:c r="F35" s="118"/>
      <x:c r="G35" s="118"/>
      <x:c r="H35" s="118"/>
      <x:c r="I35" s="118"/>
      <x:c r="J35" s="118"/>
    </x:row>
    <x:row r="36" ht="20" hidden="0" customHeight="1">
      <x:c r="A36" s="90"/>
      <x:c r="B36" s="118"/>
      <x:c r="C36" s="118"/>
      <x:c r="D36" s="118"/>
      <x:c r="E36" s="118"/>
      <x:c r="F36" s="118"/>
      <x:c r="G36" s="118"/>
      <x:c r="H36" s="118"/>
      <x:c r="I36" s="118"/>
      <x:c r="J36" s="118"/>
    </x:row>
    <x:row r="37" ht="20" hidden="0" customHeight="1">
      <x:c r="A37" s="90"/>
      <x:c r="B37" s="118"/>
      <x:c r="C37" s="118"/>
      <x:c r="D37" s="118"/>
      <x:c r="E37" s="118"/>
      <x:c r="F37" s="118"/>
      <x:c r="G37" s="118"/>
      <x:c r="H37" s="118"/>
      <x:c r="I37" s="118"/>
      <x:c r="J37" s="118"/>
    </x:row>
    <x:row r="38" ht="20" hidden="0" customHeight="1">
      <x:c r="A38" s="90"/>
      <x:c r="B38" s="90"/>
      <x:c r="C38" s="90"/>
      <x:c r="D38" s="90"/>
      <x:c r="E38" s="90"/>
      <x:c r="F38" s="90"/>
      <x:c r="G38" s="90"/>
      <x:c r="H38" s="90"/>
      <x:c r="I38" s="90"/>
      <x:c r="J38" s="90"/>
    </x:row>
    <x:row r="39" ht="20" hidden="0" customHeight="1">
      <x:c r="A39" s="90"/>
      <x:c r="B39" s="90"/>
      <x:c r="C39" s="90"/>
      <x:c r="D39" s="90"/>
      <x:c r="E39" s="90"/>
      <x:c r="F39" s="90"/>
      <x:c r="G39" s="90"/>
      <x:c r="H39" s="90"/>
      <x:c r="I39" s="90"/>
      <x:c r="J39" s="90"/>
    </x:row>
    <x:row r="40" ht="20" hidden="0" customHeight="1">
      <x:c r="A40" s="90"/>
      <x:c r="B40" s="118" t="str">
        <x:v>Judgment: protect revenue continuity before integration savings; assess reimbursement, case mix, physician retention and labor costs together. Separate standalone value from buyer-created synergies. A buyer ceiling is a constraint, not a target price.</x:v>
      </x:c>
      <x:c r="C40" s="118"/>
      <x:c r="D40" s="118"/>
      <x:c r="E40" s="118"/>
      <x:c r="F40" s="118"/>
      <x:c r="G40" s="118"/>
      <x:c r="H40" s="118"/>
      <x:c r="I40" s="118"/>
      <x:c r="J40" s="118"/>
    </x:row>
    <x:row r="41" ht="20" hidden="0" customHeight="1">
      <x:c r="A41" s="90"/>
      <x:c r="B41" s="118"/>
      <x:c r="C41" s="118"/>
      <x:c r="D41" s="118"/>
      <x:c r="E41" s="118"/>
      <x:c r="F41" s="118"/>
      <x:c r="G41" s="118"/>
      <x:c r="H41" s="118"/>
      <x:c r="I41" s="118"/>
      <x:c r="J41" s="118"/>
    </x:row>
    <x:row r="42" ht="20" hidden="0" customHeight="1">
      <x:c r="A42" s="90"/>
      <x:c r="B42" s="118"/>
      <x:c r="C42" s="118"/>
      <x:c r="D42" s="118"/>
      <x:c r="E42" s="118"/>
      <x:c r="F42" s="118"/>
      <x:c r="G42" s="118"/>
      <x:c r="H42" s="118"/>
      <x:c r="I42" s="118"/>
      <x:c r="J42" s="118"/>
    </x:row>
    <x:row r="43" ht="20" hidden="0" customHeight="1">
      <x:c r="A43" s="90"/>
      <x:c r="B43" s="118"/>
      <x:c r="C43" s="118"/>
      <x:c r="D43" s="118"/>
      <x:c r="E43" s="118"/>
      <x:c r="F43" s="118"/>
      <x:c r="G43" s="118"/>
      <x:c r="H43" s="118"/>
      <x:c r="I43" s="118"/>
      <x:c r="J43" s="118"/>
    </x:row>
    <x:row r="44" ht="20" hidden="0" customHeight="1">
      <x:c r="A44" s="90"/>
      <x:c r="B44" s="90"/>
      <x:c r="C44" s="90"/>
      <x:c r="D44" s="90"/>
      <x:c r="E44" s="90"/>
      <x:c r="F44" s="90"/>
      <x:c r="G44" s="90"/>
      <x:c r="H44" s="90"/>
      <x:c r="I44" s="90"/>
      <x:c r="J44" s="90"/>
    </x:row>
    <x:row r="45" ht="20" hidden="0" customHeight="1">
      <x:c r="A45" s="90"/>
      <x:c r="B45" s="90"/>
      <x:c r="C45" s="90"/>
      <x:c r="D45" s="90"/>
      <x:c r="E45" s="90"/>
      <x:c r="F45" s="90"/>
      <x:c r="G45" s="90"/>
      <x:c r="H45" s="90"/>
      <x:c r="I45" s="90"/>
      <x:c r="J45" s="90"/>
    </x:row>
    <x:row r="46" ht="20" hidden="0" customHeight="1">
      <x:c r="A46" s="90"/>
      <x:c r="B46" s="118" t="str">
        <x:v>Earlier financial history:
https://ir.surgerypartners.com/news-releases/news-release-details/surgery-partners-inc-announces-fourth-quarter-and-full-year-2023
https://ir.surgerypartners.com/news-releases/news-release-details/surgery-partners-inc-announces-fourth-quarter-and-full-year-2022</x:v>
      </x:c>
      <x:c r="C46" s="118"/>
      <x:c r="D46" s="118"/>
      <x:c r="E46" s="118"/>
      <x:c r="F46" s="118"/>
      <x:c r="G46" s="118"/>
      <x:c r="H46" s="118"/>
      <x:c r="I46" s="118"/>
      <x:c r="J46" s="118"/>
    </x:row>
    <x:row r="47" ht="20" hidden="0" customHeight="1">
      <x:c r="A47" s="90"/>
      <x:c r="B47" s="118"/>
      <x:c r="C47" s="118"/>
      <x:c r="D47" s="118"/>
      <x:c r="E47" s="118"/>
      <x:c r="F47" s="118"/>
      <x:c r="G47" s="118"/>
      <x:c r="H47" s="118"/>
      <x:c r="I47" s="118"/>
      <x:c r="J47" s="118"/>
    </x:row>
    <x:row r="48" ht="20" hidden="0" customHeight="1">
      <x:c r="A48" s="90"/>
      <x:c r="B48" s="118"/>
      <x:c r="C48" s="118"/>
      <x:c r="D48" s="118"/>
      <x:c r="E48" s="118"/>
      <x:c r="F48" s="118"/>
      <x:c r="G48" s="118"/>
      <x:c r="H48" s="118"/>
      <x:c r="I48" s="118"/>
      <x:c r="J48" s="118"/>
    </x:row>
    <x:row r="49" ht="20" hidden="0" customHeight="1">
      <x:c r="A49" s="90"/>
      <x:c r="B49" s="118"/>
      <x:c r="C49" s="118"/>
      <x:c r="D49" s="118"/>
      <x:c r="E49" s="118"/>
      <x:c r="F49" s="118"/>
      <x:c r="G49" s="118"/>
      <x:c r="H49" s="118"/>
      <x:c r="I49" s="118"/>
      <x:c r="J49" s="118"/>
    </x:row>
    <x:row r="50" ht="20" hidden="0" customHeight="1">
      <x:c r="A50" s="90"/>
      <x:c r="B50" s="118"/>
      <x:c r="C50" s="118"/>
      <x:c r="D50" s="118"/>
      <x:c r="E50" s="118"/>
      <x:c r="F50" s="118"/>
      <x:c r="G50" s="118"/>
      <x:c r="H50" s="118"/>
      <x:c r="I50" s="118"/>
      <x:c r="J50" s="118"/>
    </x:row>
    <x:row r="51" ht="20" customHeight="1">
      <x:c r="A51" s="90"/>
      <x:c r="B51" s="118"/>
      <x:c r="C51" s="118"/>
      <x:c r="D51" s="118"/>
      <x:c r="E51" s="118"/>
      <x:c r="F51" s="118"/>
      <x:c r="G51" s="118"/>
      <x:c r="H51" s="118"/>
      <x:c r="I51" s="118"/>
      <x:c r="J51" s="118"/>
    </x:row>
    <x:row r="52" ht="20" customHeight="1">
      <x:c r="A52" s="90"/>
      <x:c r="B52" s="90"/>
      <x:c r="C52" s="90"/>
      <x:c r="D52" s="90"/>
      <x:c r="E52" s="90"/>
      <x:c r="F52" s="90"/>
      <x:c r="G52" s="90"/>
      <x:c r="H52" s="90"/>
      <x:c r="I52" s="90"/>
      <x:c r="J52" s="90"/>
    </x:row>
    <x:row r="53">
      <x:c r="B53" s="302" t="str">
        <x:v>Q2 2026 Form 10-Q, Notes 3–4: funded debt, finance leases and debt discounts.
https://ir.surgerypartners.com/node/12016/html</x:v>
      </x:c>
      <x:c r="C53" s="303"/>
      <x:c r="D53" s="303"/>
      <x:c r="E53" s="303"/>
      <x:c r="F53" s="303"/>
      <x:c r="G53" s="303"/>
      <x:c r="H53" s="303"/>
      <x:c r="I53" s="303"/>
      <x:c r="J53" s="303"/>
    </x:row>
    <x:row r="54">
      <x:c r="B54" s="303"/>
      <x:c r="C54" s="303"/>
      <x:c r="D54" s="303"/>
      <x:c r="E54" s="303"/>
      <x:c r="F54" s="303"/>
      <x:c r="G54" s="303"/>
      <x:c r="H54" s="303"/>
      <x:c r="I54" s="303"/>
      <x:c r="J54" s="303"/>
    </x:row>
    <x:row r="55">
      <x:c r="B55" s="303"/>
      <x:c r="C55" s="303"/>
      <x:c r="D55" s="303"/>
      <x:c r="E55" s="303"/>
      <x:c r="F55" s="303"/>
      <x:c r="G55" s="303"/>
      <x:c r="H55" s="303"/>
      <x:c r="I55" s="303"/>
      <x:c r="J55" s="303"/>
    </x:row>
    <x:row r="56">
      <x:c r="B56" s="303"/>
      <x:c r="C56" s="303"/>
      <x:c r="D56" s="303"/>
      <x:c r="E56" s="303"/>
      <x:c r="F56" s="303"/>
      <x:c r="G56" s="303"/>
      <x:c r="H56" s="303"/>
      <x:c r="I56" s="303"/>
      <x:c r="J56" s="303"/>
    </x:row>
  </x:sheetData>
  <x:mergeCells>
    <x:mergeCell ref="A1:J1"/>
    <x:mergeCell ref="B2:J3"/>
    <x:mergeCell ref="B5:J5"/>
    <x:mergeCell ref="B7:J11"/>
    <x:mergeCell ref="B14:J18"/>
    <x:mergeCell ref="B21:J21"/>
    <x:mergeCell ref="B23:J25"/>
    <x:mergeCell ref="B28:J31"/>
    <x:mergeCell ref="B34:J37"/>
    <x:mergeCell ref="B40:J43"/>
    <x:mergeCell ref="B46:J51"/>
    <x:mergeCell ref="B53:J56"/>
  </x:mergeCells>
  <x:pageMargins left="0.7" right="0.7" top="0.75" bottom="0.75" header="0.3" footer="0.3"/>
</x:worksheet>
</file>

<file path=xl/worksheets/sheet14.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MODEL CHECKS</x:v>
      </x:c>
      <x:c r="B1" s="113"/>
      <x:c r="C1" s="113"/>
      <x:c r="D1" s="113"/>
      <x:c r="E1" s="113"/>
      <x:c r="F1" s="113"/>
      <x:c r="G1" s="113"/>
      <x:c r="H1" s="113"/>
      <x:c r="I1" s="114"/>
      <x:c r="J1" s="114"/>
    </x:row>
    <x:row r="2" ht="20" hidden="0" customHeight="1">
      <x:c r="A2" s="103"/>
      <x:c r="B2" s="117" t="str">
        <x:v>Calculation integrity is separate from underwriting assumptions and liquidity capacity.</x:v>
      </x:c>
      <x:c r="C2" s="117"/>
      <x:c r="D2" s="117"/>
      <x:c r="E2" s="117"/>
      <x:c r="F2" s="117"/>
      <x:c r="G2" s="117"/>
      <x:c r="H2" s="117"/>
      <x:c r="I2" s="118"/>
      <x:c r="J2" s="118"/>
    </x:row>
    <x:row r="3" ht="20" hidden="0" customHeight="1">
      <x:c r="A3" s="90"/>
      <x:c r="B3" s="118"/>
      <x:c r="C3" s="118"/>
      <x:c r="D3" s="118"/>
      <x:c r="E3" s="118"/>
      <x:c r="F3" s="118"/>
      <x:c r="G3" s="118"/>
      <x:c r="H3" s="118"/>
      <x:c r="I3" s="118"/>
      <x:c r="J3" s="118"/>
    </x:row>
    <x:row r="4" ht="20" hidden="0" customHeight="1">
      <x:c r="A4" s="90"/>
      <x:c r="B4" s="88"/>
      <x:c r="C4" s="92"/>
      <x:c r="D4" s="92"/>
      <x:c r="E4" s="90"/>
      <x:c r="F4" s="90"/>
      <x:c r="G4" s="90"/>
      <x:c r="H4" s="90"/>
      <x:c r="I4" s="90"/>
      <x:c r="J4" s="90"/>
    </x:row>
    <x:row r="5" ht="20" hidden="0" customHeight="1">
      <x:c r="A5" s="90"/>
      <x:c r="B5" s="90" t="str">
        <x:v>Check</x:v>
      </x:c>
      <x:c r="C5" s="106" t="str">
        <x:f aca="0"/>
        <x:v>Actual</x:v>
      </x:c>
      <x:c r="D5" s="92" t="str">
        <x:f aca="0"/>
        <x:v>Expected</x:v>
      </x:c>
      <x:c r="E5" s="90" t="str">
        <x:v>Difference</x:v>
      </x:c>
      <x:c r="F5" s="90" t="str">
        <x:v>Tolerance</x:v>
      </x:c>
      <x:c r="G5" s="90" t="str">
        <x:v>Status</x:v>
      </x:c>
      <x:c r="H5" s="90" t="str"/>
      <x:c r="I5" s="90"/>
      <x:c r="J5" s="90"/>
    </x:row>
    <x:row r="6" ht="20" hidden="0" customHeight="1">
      <x:c r="A6" s="90"/>
      <x:c r="B6" s="90" t="str">
        <x:v>Reported balance sheet incl. redeemable NCI</x:v>
      </x:c>
      <x:c r="C6" s="177" t="n">
        <x:f aca="0">'Source Inputs'!C13</x:f>
        <x:v>8049.7</x:v>
      </x:c>
      <x:c r="D6" s="194" t="n">
        <x:f aca="0">SUM('Source Inputs'!C14:C17)</x:f>
        <x:v>8049.7</x:v>
      </x:c>
      <x:c r="E6" s="138" t="n">
        <x:f>C6-D6</x:f>
        <x:v>0</x:v>
      </x:c>
      <x:c r="F6" s="138" t="n">
        <x:v>0.01</x:v>
      </x:c>
      <x:c r="G6" s="245" t="str">
        <x:f>IF(ABS(E6)&lt;=F6,"PASS","FAIL")</x:f>
        <x:v>PASS</x:v>
      </x:c>
      <x:c r="H6" s="90"/>
      <x:c r="I6" s="90"/>
      <x:c r="J6" s="90"/>
    </x:row>
    <x:row r="7" ht="20" hidden="0" customHeight="1">
      <x:c r="A7" s="90"/>
      <x:c r="B7" s="90" t="str">
        <x:v>Company EBITDA reconciliation</x:v>
      </x:c>
      <x:c r="C7" s="177" t="n">
        <x:f aca="0">'NCI Reconciliation'!C18</x:f>
        <x:v>-2.842170943040401e-14</x:v>
      </x:c>
      <x:c r="D7" s="130" t="n">
        <x:f aca="0">0</x:f>
        <x:v>0</x:v>
      </x:c>
      <x:c r="E7" s="138" t="n">
        <x:f>C7-D7</x:f>
        <x:v>-2.842170943040401e-14</x:v>
      </x:c>
      <x:c r="F7" s="138" t="n">
        <x:v>0.01</x:v>
      </x:c>
      <x:c r="G7" s="245" t="str">
        <x:f>IF(ABS(E7)&lt;=F7,"PASS","FAIL")</x:f>
        <x:v>PASS</x:v>
      </x:c>
      <x:c r="H7" s="90"/>
      <x:c r="I7" s="90"/>
      <x:c r="J7" s="90"/>
    </x:row>
    <x:row r="8" ht="20" hidden="0" customHeight="1">
      <x:c r="A8" s="90"/>
      <x:c r="B8" s="90" t="str">
        <x:v>NCI net income to parent income</x:v>
      </x:c>
      <x:c r="C8" s="177" t="n">
        <x:f aca="0">'Source Inputs'!C33-'Source Inputs'!C22</x:f>
        <x:v>-50.9</x:v>
      </x:c>
      <x:c r="D8" s="194" t="n">
        <x:f aca="0">'Source Inputs'!C34</x:f>
        <x:v>-50.9</x:v>
      </x:c>
      <x:c r="E8" s="138" t="n">
        <x:f>C8-D8</x:f>
        <x:v>0</x:v>
      </x:c>
      <x:c r="F8" s="138" t="n">
        <x:v>0.01</x:v>
      </x:c>
      <x:c r="G8" s="245" t="str">
        <x:f>IF(ABS(E8)&lt;=F8,"PASS","FAIL")</x:f>
        <x:v>PASS</x:v>
      </x:c>
      <x:c r="H8" s="90"/>
      <x:c r="I8" s="90"/>
      <x:c r="J8" s="90"/>
    </x:row>
    <x:row r="9" ht="20" hidden="0" customHeight="1">
      <x:c r="A9" s="90"/>
      <x:c r="B9" s="90" t="str">
        <x:v>Funded debt source tie</x:v>
      </x:c>
      <x:c r="C9" s="177" t="n">
        <x:f aca="0">'Source Inputs'!C49</x:f>
        <x:v>3782.2000000000003</x:v>
      </x:c>
      <x:c r="D9" s="194" t="n">
        <x:f aca="0">SUM('Source Inputs'!C11:C12)+'Source Inputs'!C48</x:f>
        <x:v>3782.2000000000003</x:v>
      </x:c>
      <x:c r="E9" s="138" t="n">
        <x:f>C9-D9</x:f>
        <x:v>0</x:v>
      </x:c>
      <x:c r="F9" s="138" t="n">
        <x:v>0.01</x:v>
      </x:c>
      <x:c r="G9" s="245" t="str">
        <x:f>IF(ABS(E9)&lt;=F9,"PASS","FAIL")</x:f>
        <x:v>PASS</x:v>
      </x:c>
      <x:c r="H9" s="90"/>
      <x:c r="I9" s="90"/>
      <x:c r="J9" s="90"/>
    </x:row>
    <x:row r="10" ht="20" hidden="0" customHeight="1">
      <x:c r="A10" s="90"/>
      <x:c r="B10" s="90" t="str">
        <x:v>Cash roll-forward maximum difference</x:v>
      </x:c>
      <x:c r="C10" s="177" t="n">
        <x:f aca="0">MAX(ABS('Operating Forecast'!C40),ABS('Operating Forecast'!D40),ABS('Operating Forecast'!E40),ABS('Operating Forecast'!F40),ABS('Operating Forecast'!G40))</x:f>
        <x:v>0</x:v>
      </x:c>
      <x:c r="D10" s="130" t="n">
        <x:f aca="0">0</x:f>
        <x:v>0</x:v>
      </x:c>
      <x:c r="E10" s="138" t="n">
        <x:f>C10-D10</x:f>
        <x:v>0</x:v>
      </x:c>
      <x:c r="F10" s="138" t="n">
        <x:v>0.01</x:v>
      </x:c>
      <x:c r="G10" s="245" t="str">
        <x:f>IF(ABS(E10)&lt;=F10,"PASS","FAIL")</x:f>
        <x:v>PASS</x:v>
      </x:c>
      <x:c r="H10" s="90"/>
      <x:c r="I10" s="90"/>
      <x:c r="J10" s="90"/>
    </x:row>
    <x:row r="11" ht="20" hidden="0" customHeight="1">
      <x:c r="A11" s="90"/>
      <x:c r="B11" s="90" t="str">
        <x:v>Debt roll-forward maximum difference</x:v>
      </x:c>
      <x:c r="C11" s="177" t="n">
        <x:f aca="0">MAX(ABS('Operating Forecast'!C41),ABS('Operating Forecast'!D41),ABS('Operating Forecast'!E41),ABS('Operating Forecast'!F41),ABS('Operating Forecast'!G41))</x:f>
        <x:v>0</x:v>
      </x:c>
      <x:c r="D11" s="130" t="n">
        <x:f aca="0">0</x:f>
        <x:v>0</x:v>
      </x:c>
      <x:c r="E11" s="138" t="n">
        <x:f>C11-D11</x:f>
        <x:v>0</x:v>
      </x:c>
      <x:c r="F11" s="138" t="n">
        <x:v>0.01</x:v>
      </x:c>
      <x:c r="G11" s="245" t="str">
        <x:f>IF(ABS(E11)&lt;=F11,"PASS","FAIL")</x:f>
        <x:v>PASS</x:v>
      </x:c>
      <x:c r="H11" s="90"/>
      <x:c r="I11" s="90"/>
      <x:c r="J11" s="90"/>
    </x:row>
    <x:row r="12" ht="20" hidden="0" customHeight="1">
      <x:c r="A12" s="90"/>
      <x:c r="B12" s="90" t="str">
        <x:v>Buyer debt roll-forward maximum difference</x:v>
      </x:c>
      <x:c r="C12" s="177" t="n">
        <x:f aca="0">MAX(ABS('Acquisition Returns'!C47),ABS('Acquisition Returns'!D47),ABS('Acquisition Returns'!E47),ABS('Acquisition Returns'!F47),ABS('Acquisition Returns'!G47))</x:f>
        <x:v>2.2737367544323206e-13</x:v>
      </x:c>
      <x:c r="D12" s="130" t="n">
        <x:f aca="0">0</x:f>
        <x:v>0</x:v>
      </x:c>
      <x:c r="E12" s="138" t="n">
        <x:f>C12-D12</x:f>
        <x:v>2.2737367544323206e-13</x:v>
      </x:c>
      <x:c r="F12" s="138" t="n">
        <x:v>0.01</x:v>
      </x:c>
      <x:c r="G12" s="245" t="str">
        <x:f>IF(ABS(E12)&lt;=F12,"PASS","FAIL")</x:f>
        <x:v>PASS</x:v>
      </x:c>
      <x:c r="H12" s="90"/>
      <x:c r="I12" s="90"/>
      <x:c r="J12" s="90"/>
    </x:row>
    <x:row r="13" ht="20" hidden="0" customHeight="1">
      <x:c r="A13" s="90"/>
      <x:c r="B13" s="90" t="str">
        <x:v>DCF cash flow PV sum</x:v>
      </x:c>
      <x:c r="C13" s="177" t="n">
        <x:f aca="0">'DCF'!C21</x:f>
        <x:v>899.2113641039396</x:v>
      </x:c>
      <x:c r="D13" s="194" t="n">
        <x:f aca="0">SUM('DCF'!C19:G19)</x:f>
        <x:v>899.2113641039396</x:v>
      </x:c>
      <x:c r="E13" s="138" t="n">
        <x:f>C13-D13</x:f>
        <x:v>0</x:v>
      </x:c>
      <x:c r="F13" s="138" t="n">
        <x:v>0.01</x:v>
      </x:c>
      <x:c r="G13" s="245" t="str">
        <x:f>IF(ABS(E13)&lt;=F13,"PASS","FAIL")</x:f>
        <x:v>PASS</x:v>
      </x:c>
      <x:c r="H13" s="90"/>
      <x:c r="I13" s="90"/>
      <x:c r="J13" s="90"/>
    </x:row>
    <x:row r="14" ht="20" hidden="0" customHeight="1">
      <x:c r="A14" s="90"/>
      <x:c r="B14" s="90" t="str">
        <x:v>DCF equity bridge</x:v>
      </x:c>
      <x:c r="C14" s="157" t="n">
        <x:f>'DCF'!C49</x:f>
        <x:v>-772.4289991440232</x:v>
      </x:c>
      <x:c r="D14" s="157" t="n">
        <x:f>'DCF'!C47-'Source Inputs'!C53</x:f>
        <x:v>-772.4289991440232</x:v>
      </x:c>
      <x:c r="E14" s="138" t="n">
        <x:f>C14-D14</x:f>
        <x:v>0</x:v>
      </x:c>
      <x:c r="F14" s="138" t="n">
        <x:v>0.01</x:v>
      </x:c>
      <x:c r="G14" s="245" t="str">
        <x:f>IF(ABS(E14)&lt;=F14,"PASS","FAIL")</x:f>
        <x:v>PASS</x:v>
      </x:c>
      <x:c r="H14" s="90"/>
      <x:c r="I14" s="90"/>
      <x:c r="J14" s="90"/>
    </x:row>
    <x:row r="15" ht="20" hidden="0" customHeight="1">
      <x:c r="A15" s="90"/>
      <x:c r="B15" s="88" t="str">
        <x:v>WACC above terminal growth</x:v>
      </x:c>
      <x:c r="C15" s="157" t="n">
        <x:f>IF('DCF'!C10&gt;'DCF'!C24,1,0)</x:f>
        <x:v>1</x:v>
      </x:c>
      <x:c r="D15" s="130" t="n">
        <x:f aca="0">1</x:f>
        <x:v>1</x:v>
      </x:c>
      <x:c r="E15" s="138" t="n">
        <x:f>C15-D15</x:f>
        <x:v>0</x:v>
      </x:c>
      <x:c r="F15" s="138" t="n">
        <x:v>0.01</x:v>
      </x:c>
      <x:c r="G15" s="245" t="str">
        <x:f>IF(ABS(E15)&lt;=F15,"PASS","FAIL")</x:f>
        <x:v>PASS</x:v>
      </x:c>
      <x:c r="H15" s="90"/>
      <x:c r="I15" s="90"/>
      <x:c r="J15" s="90"/>
    </x:row>
    <x:row r="16" ht="20" hidden="0" customHeight="1">
      <x:c r="A16" s="90"/>
      <x:c r="B16" s="90" t="str">
        <x:v>Positive diluted share denominator</x:v>
      </x:c>
      <x:c r="C16" s="157" t="n">
        <x:f>IF('Source Inputs'!C50&gt;0,1,0)</x:f>
        <x:v>1</x:v>
      </x:c>
      <x:c r="D16" s="138" t="n">
        <x:f>1</x:f>
        <x:v>1</x:v>
      </x:c>
      <x:c r="E16" s="138" t="n">
        <x:f>C16-D16</x:f>
        <x:v>0</x:v>
      </x:c>
      <x:c r="F16" s="138" t="n">
        <x:v>0.01</x:v>
      </x:c>
      <x:c r="G16" s="245" t="str">
        <x:f>IF(ABS(E16)&lt;=F16,"PASS","FAIL")</x:f>
        <x:v>PASS</x:v>
      </x:c>
      <x:c r="H16" s="90"/>
      <x:c r="I16" s="90"/>
      <x:c r="J16" s="90"/>
    </x:row>
    <x:row r="17" ht="20" hidden="0" customHeight="1">
      <x:c r="A17" s="90"/>
      <x:c r="B17" s="103" t="str">
        <x:v>Valid scenario input</x:v>
      </x:c>
      <x:c r="C17" s="157" t="n">
        <x:f>IF(AND('Assumptions'!C5&gt;=1,'Assumptions'!C5&lt;=3),1,0)</x:f>
        <x:v>1</x:v>
      </x:c>
      <x:c r="D17" s="138" t="n">
        <x:f>1</x:f>
        <x:v>1</x:v>
      </x:c>
      <x:c r="E17" s="138" t="n">
        <x:f>C17-D17</x:f>
        <x:v>0</x:v>
      </x:c>
      <x:c r="F17" s="138" t="n">
        <x:v>0.01</x:v>
      </x:c>
      <x:c r="G17" s="245" t="str">
        <x:f>IF(ABS(E17)&lt;=F17,"PASS","FAIL")</x:f>
        <x:v>PASS</x:v>
      </x:c>
      <x:c r="H17" s="90"/>
      <x:c r="I17" s="90"/>
      <x:c r="J17" s="90"/>
    </x:row>
    <x:row r="18" ht="20" hidden="0" customHeight="1">
      <x:c r="A18" s="90"/>
      <x:c r="B18" s="103" t="str">
        <x:v>Nonnegative forecast debt</x:v>
      </x:c>
      <x:c r="C18" s="157" t="n">
        <x:f>IF(MIN('Operating Forecast'!C37:G37)&gt;=0,1,0)</x:f>
        <x:v>1</x:v>
      </x:c>
      <x:c r="D18" s="138" t="n">
        <x:f>1</x:f>
        <x:v>1</x:v>
      </x:c>
      <x:c r="E18" s="138" t="n">
        <x:f>C18-D18</x:f>
        <x:v>0</x:v>
      </x:c>
      <x:c r="F18" s="138" t="n">
        <x:v>0.01</x:v>
      </x:c>
      <x:c r="G18" s="245" t="str">
        <x:f>IF(ABS(E18)&lt;=F18,"PASS","FAIL")</x:f>
        <x:v>PASS</x:v>
      </x:c>
      <x:c r="H18" s="90"/>
      <x:c r="I18" s="90"/>
      <x:c r="J18" s="90"/>
    </x:row>
    <x:row r="19" ht="20" hidden="0" customHeight="1">
      <x:c r="A19" s="90"/>
      <x:c r="B19" s="103" t="str">
        <x:v>Consolidated comp range ordering</x:v>
      </x:c>
      <x:c r="C19" s="157" t="n">
        <x:f>IF('Assumptions'!C36&gt;='Assumptions'!C35,1,0)</x:f>
        <x:v>1</x:v>
      </x:c>
      <x:c r="D19" s="138" t="n">
        <x:f>1</x:f>
        <x:v>1</x:v>
      </x:c>
      <x:c r="E19" s="138" t="n">
        <x:f>C19-D19</x:f>
        <x:v>0</x:v>
      </x:c>
      <x:c r="F19" s="138" t="n">
        <x:v>0.01</x:v>
      </x:c>
      <x:c r="G19" s="245" t="str">
        <x:f>IF(ABS(E19)&lt;=F19,"PASS","FAIL")</x:f>
        <x:v>PASS</x:v>
      </x:c>
      <x:c r="H19" s="90"/>
      <x:c r="I19" s="90"/>
      <x:c r="J19" s="90"/>
    </x:row>
    <x:row r="20" ht="20" hidden="0" customHeight="1">
      <x:c r="A20" s="90"/>
      <x:c r="B20" s="103" t="str">
        <x:v>Buyer entry fees and sources</x:v>
      </x:c>
      <x:c r="C20" s="157" t="n">
        <x:f>'Acquisition Returns'!C18+'Acquisition Returns'!C15</x:f>
        <x:v>6088.277974500001</x:v>
      </x:c>
      <x:c r="D20" s="157" t="n">
        <x:f>'Acquisition Returns'!C9+'Acquisition Returns'!C17</x:f>
        <x:v>6088.277974500001</x:v>
      </x:c>
      <x:c r="E20" s="138" t="n">
        <x:f>C20-D20</x:f>
        <x:v>0</x:v>
      </x:c>
      <x:c r="F20" s="138" t="n">
        <x:v>0.01</x:v>
      </x:c>
      <x:c r="G20" s="245" t="str">
        <x:f>IF(ABS(E20)&lt;=F20,"PASS","FAIL")</x:f>
        <x:v>PASS</x:v>
      </x:c>
      <x:c r="H20" s="90"/>
      <x:c r="I20" s="90"/>
      <x:c r="J20" s="90"/>
    </x:row>
    <x:row r="21" ht="20" hidden="0" customHeight="1">
      <x:c r="A21" s="90"/>
      <x:c r="B21" s="90" t="str">
        <x:v>Buyer ceiling solves fee equation</x:v>
      </x:c>
      <x:c r="C21" s="157" t="n">
        <x:f>'Acquisition Returns'!C43*(1+'Acquisition Returns'!C16)</x:f>
        <x:v>3604.7825392380137</x:v>
      </x:c>
      <x:c r="D21" s="157" t="n">
        <x:f>'Acquisition Returns'!C42+'Acquisition Returns'!C15</x:f>
        <x:v>3604.7825392380137</x:v>
      </x:c>
      <x:c r="E21" s="138" t="n">
        <x:f>C21-D21</x:f>
        <x:v>0</x:v>
      </x:c>
      <x:c r="F21" s="138" t="n">
        <x:v>0.01</x:v>
      </x:c>
      <x:c r="G21" s="245" t="str">
        <x:f>IF(ABS(E21)&lt;=F21,"PASS","FAIL")</x:f>
        <x:v>PASS</x:v>
      </x:c>
      <x:c r="H21" s="90"/>
      <x:c r="I21" s="90"/>
      <x:c r="J21" s="90"/>
    </x:row>
    <x:row r="22" ht="20" hidden="0" customHeight="1">
      <x:c r="A22" s="90"/>
      <x:c r="B22" s="90"/>
      <x:c r="C22" s="90"/>
      <x:c r="D22" s="90"/>
      <x:c r="E22" s="90"/>
      <x:c r="F22" s="90"/>
      <x:c r="G22" s="90"/>
      <x:c r="H22" s="90"/>
      <x:c r="I22" s="90"/>
      <x:c r="J22" s="90"/>
    </x:row>
    <x:row r="23" ht="20" hidden="0" customHeight="1">
      <x:c r="A23" s="90"/>
      <x:c r="B23" s="90"/>
      <x:c r="C23" s="90"/>
      <x:c r="D23" s="90"/>
      <x:c r="E23" s="90"/>
      <x:c r="F23" s="90"/>
      <x:c r="G23" s="90"/>
      <x:c r="H23" s="90"/>
      <x:c r="I23" s="90"/>
      <x:c r="J23" s="90"/>
    </x:row>
    <x:row r="24" ht="20" hidden="0" customHeight="1">
      <x:c r="A24" s="90"/>
      <x:c r="B24" s="90" t="str">
        <x:v>Calculation status</x:v>
      </x:c>
      <x:c r="C24" s="245" t="str">
        <x:f>IF(COUNTIF(G6:G21,"FAIL")&gt;0,"FAIL","PASS")</x:f>
        <x:v>PASS</x:v>
      </x:c>
      <x:c r="D24" s="90"/>
      <x:c r="E24" s="90"/>
      <x:c r="F24" s="90"/>
      <x:c r="G24" s="90"/>
      <x:c r="H24" s="90"/>
      <x:c r="I24" s="90"/>
      <x:c r="J24" s="90"/>
    </x:row>
    <x:row r="25" ht="20" hidden="0" customHeight="1">
      <x:c r="A25" s="90"/>
      <x:c r="B25" s="90"/>
      <x:c r="C25" s="90"/>
      <x:c r="D25" s="90"/>
      <x:c r="E25" s="90"/>
      <x:c r="F25" s="90"/>
      <x:c r="G25" s="90"/>
      <x:c r="H25" s="90"/>
      <x:c r="I25" s="90"/>
      <x:c r="J25" s="90"/>
    </x:row>
    <x:row r="26" ht="20" hidden="0" customHeight="1">
      <x:c r="A26" s="90"/>
      <x:c r="B26" s="90"/>
      <x:c r="C26" s="90"/>
      <x:c r="D26" s="90"/>
      <x:c r="E26" s="90"/>
      <x:c r="F26" s="90"/>
      <x:c r="G26" s="90"/>
      <x:c r="H26" s="90"/>
      <x:c r="I26" s="90"/>
      <x:c r="J26" s="90"/>
    </x:row>
    <x:row r="27" ht="20" hidden="0" customHeight="1">
      <x:c r="A27" s="90"/>
      <x:c r="B27" s="90" t="str">
        <x:v>Lowest forecast cash reserve headroom</x:v>
      </x:c>
      <x:c r="C27" s="157" t="n">
        <x:f>MIN('Operating Forecast'!C38:G38)</x:f>
        <x:v>152.3440704901381</x:v>
      </x:c>
      <x:c r="D27" s="90"/>
      <x:c r="E27" s="90"/>
      <x:c r="F27" s="90"/>
      <x:c r="G27" s="245" t="str">
        <x:f>IF(C27&gt;=0,"PASS","FUNDING GAP")</x:f>
        <x:v>PASS</x:v>
      </x:c>
      <x:c r="H27" s="90"/>
      <x:c r="I27" s="90"/>
      <x:c r="J27" s="90"/>
    </x:row>
    <x:row r="28" ht="20" hidden="0" customHeight="1">
      <x:c r="A28" s="90"/>
      <x:c r="B28" s="90" t="str">
        <x:v>Buyer additional financing required</x:v>
      </x:c>
      <x:c r="C28" s="157" t="n">
        <x:f>SUM('Acquisition Returns'!C28:G28)</x:f>
        <x:v>0</x:v>
      </x:c>
      <x:c r="D28" s="90"/>
      <x:c r="E28" s="90"/>
      <x:c r="F28" s="90"/>
      <x:c r="G28" s="245" t="str">
        <x:f>IF(C28&lt;=0.01,"PASS","FUNDING GAP")</x:f>
        <x:v>PASS</x:v>
      </x:c>
      <x:c r="H28" s="90"/>
      <x:c r="I28" s="90"/>
      <x:c r="J28" s="90"/>
    </x:row>
    <x:row r="29" ht="20" hidden="0" customHeight="1">
      <x:c r="A29" s="90"/>
      <x:c r="B29" s="90" t="str">
        <x:v>Terminal value concentration</x:v>
      </x:c>
      <x:c r="C29" s="284" t="n">
        <x:f>'DCF'!C54</x:f>
        <x:v>0.6891844811835283</x:v>
      </x:c>
      <x:c r="D29" s="90"/>
      <x:c r="E29" s="90"/>
      <x:c r="F29" s="90"/>
      <x:c r="G29" s="245" t="str">
        <x:f>IF(C29&gt;0.85,"HIGH","MODERATE")</x:f>
        <x:v>MODERATE</x:v>
      </x:c>
      <x:c r="H29" s="90"/>
      <x:c r="I29" s="90"/>
      <x:c r="J29" s="90"/>
    </x:row>
    <x:row r="30" ht="20" hidden="0" customHeight="1">
      <x:c r="A30" s="90"/>
      <x:c r="B30" s="90"/>
      <x:c r="C30" s="90"/>
      <x:c r="D30" s="90"/>
      <x:c r="E30" s="90"/>
      <x:c r="F30" s="90"/>
      <x:c r="G30" s="90"/>
      <x:c r="H30" s="90"/>
      <x:c r="I30" s="90"/>
      <x:c r="J30" s="90"/>
    </x:row>
    <x:row r="31" ht="20" hidden="0" customHeight="1">
      <x:c r="A31" s="90"/>
      <x:c r="B31" s="90"/>
      <x:c r="C31" s="90"/>
      <x:c r="D31" s="90"/>
      <x:c r="E31" s="90"/>
      <x:c r="F31" s="90"/>
      <x:c r="G31" s="90"/>
      <x:c r="H31" s="90"/>
      <x:c r="I31" s="90"/>
      <x:c r="J31" s="90"/>
    </x:row>
    <x:row r="32" ht="20" hidden="0" customHeight="1">
      <x:c r="A32" s="90"/>
      <x:c r="B32" s="118" t="str">
        <x:v>A PASS confirms arithmetic and links, not the commercial assumptions. Funding gaps are shown separately and must be financed, reduced through the operating plan, or reflected in a lower offer. Blue assumptions remain editable.</x:v>
      </x:c>
      <x:c r="C32" s="118"/>
      <x:c r="D32" s="118"/>
      <x:c r="E32" s="118"/>
      <x:c r="F32" s="118"/>
      <x:c r="G32" s="118"/>
      <x:c r="H32" s="118"/>
      <x:c r="I32" s="118"/>
      <x:c r="J32" s="118"/>
    </x:row>
    <x:row r="33" ht="20" hidden="0" customHeight="1">
      <x:c r="A33" s="90"/>
      <x:c r="B33" s="118"/>
      <x:c r="C33" s="118"/>
      <x:c r="D33" s="118"/>
      <x:c r="E33" s="118"/>
      <x:c r="F33" s="118"/>
      <x:c r="G33" s="118"/>
      <x:c r="H33" s="118"/>
      <x:c r="I33" s="118"/>
      <x:c r="J33" s="118"/>
    </x:row>
    <x:row r="34" ht="20" hidden="0" customHeight="1">
      <x:c r="A34" s="90"/>
      <x:c r="B34" s="118"/>
      <x:c r="C34" s="118"/>
      <x:c r="D34" s="118"/>
      <x:c r="E34" s="118"/>
      <x:c r="F34" s="118"/>
      <x:c r="G34" s="118"/>
      <x:c r="H34" s="118"/>
      <x:c r="I34" s="118"/>
      <x:c r="J34" s="118"/>
    </x:row>
    <x:row r="35" ht="20" hidden="0" customHeight="1">
      <x:c r="A35" s="90"/>
      <x:c r="B35" s="118"/>
      <x:c r="C35" s="118"/>
      <x:c r="D35" s="118"/>
      <x:c r="E35" s="118"/>
      <x:c r="F35" s="118"/>
      <x:c r="G35" s="118"/>
      <x:c r="H35" s="118"/>
      <x:c r="I35" s="118"/>
      <x:c r="J35" s="118"/>
    </x:row>
    <x:row r="36" ht="20" hidden="0" customHeight="1">
      <x:c r="A36" s="90"/>
      <x:c r="B36" s="90"/>
      <x:c r="C36" s="90"/>
      <x:c r="D36" s="90"/>
      <x:c r="E36" s="90"/>
      <x:c r="F36" s="90"/>
      <x:c r="G36" s="90"/>
      <x:c r="H36" s="90"/>
      <x:c r="I36" s="90"/>
      <x:c r="J36" s="90"/>
    </x:row>
    <x:row r="37" ht="20" hidden="0" customHeight="1">
      <x:c r="A37" s="90"/>
      <x:c r="B37" s="90"/>
      <x:c r="C37" s="90"/>
      <x:c r="D37" s="90"/>
      <x:c r="E37" s="90"/>
      <x:c r="F37" s="90"/>
      <x:c r="G37" s="90"/>
      <x:c r="H37" s="90"/>
      <x:c r="I37" s="90"/>
      <x:c r="J37" s="90"/>
    </x:row>
    <x:row r="38" ht="20" hidden="0" customHeight="1">
      <x:c r="A38" s="90"/>
      <x:c r="B38" s="90"/>
      <x:c r="C38" s="90"/>
      <x:c r="D38" s="90"/>
      <x:c r="E38" s="90"/>
      <x:c r="F38" s="90"/>
      <x:c r="G38" s="90"/>
      <x:c r="H38" s="90"/>
      <x:c r="I38" s="90"/>
      <x:c r="J38" s="90"/>
    </x:row>
    <x:row r="39" ht="20" hidden="0" customHeight="1">
      <x:c r="A39" s="90"/>
      <x:c r="B39" s="90"/>
      <x:c r="C39" s="90"/>
      <x:c r="D39" s="90"/>
      <x:c r="E39" s="90"/>
      <x:c r="F39" s="90"/>
      <x:c r="G39" s="90"/>
      <x:c r="H39" s="90"/>
      <x:c r="I39" s="90"/>
      <x:c r="J39" s="90"/>
    </x:row>
    <x:row r="40" ht="20" hidden="0" customHeight="1">
      <x:c r="A40" s="90"/>
      <x:c r="B40" s="90"/>
      <x:c r="C40" s="90"/>
      <x:c r="D40" s="90"/>
      <x:c r="E40" s="90"/>
      <x:c r="F40" s="90"/>
      <x:c r="G40" s="90"/>
      <x:c r="H40" s="90"/>
      <x:c r="I40" s="90"/>
      <x:c r="J40" s="90"/>
    </x:row>
    <x:row r="41" ht="20" hidden="0" customHeight="1">
      <x:c r="A41" s="90"/>
      <x:c r="B41" s="90"/>
      <x:c r="C41" s="90"/>
      <x:c r="D41" s="90"/>
      <x:c r="E41" s="90"/>
      <x:c r="F41" s="90"/>
      <x:c r="G41" s="90"/>
      <x:c r="H41" s="90"/>
      <x:c r="I41" s="90"/>
      <x:c r="J41" s="90"/>
    </x:row>
    <x:row r="42" ht="20" hidden="0" customHeight="1">
      <x:c r="A42" s="90"/>
      <x:c r="B42" s="90"/>
      <x:c r="C42" s="90"/>
      <x:c r="D42" s="90"/>
      <x:c r="E42" s="90"/>
      <x:c r="F42" s="90"/>
      <x:c r="G42" s="90"/>
      <x:c r="H42" s="90"/>
      <x:c r="I42" s="90"/>
      <x:c r="J42" s="90"/>
    </x:row>
    <x:row r="43" ht="20" hidden="0" customHeight="1">
      <x:c r="A43" s="90"/>
      <x:c r="B43" s="90"/>
      <x:c r="C43" s="90"/>
      <x:c r="D43" s="90"/>
      <x:c r="E43" s="90"/>
      <x:c r="F43" s="90"/>
      <x:c r="G43" s="90"/>
      <x:c r="H43" s="90"/>
      <x:c r="I43" s="90"/>
      <x:c r="J43" s="90"/>
    </x:row>
    <x:row r="44" ht="20" hidden="0" customHeight="1">
      <x:c r="A44" s="90"/>
      <x:c r="B44" s="90"/>
      <x:c r="C44" s="90"/>
      <x:c r="D44" s="90"/>
      <x:c r="E44" s="90"/>
      <x:c r="F44" s="90"/>
      <x:c r="G44" s="90"/>
      <x:c r="H44" s="90"/>
      <x:c r="I44" s="90"/>
      <x:c r="J44" s="90"/>
    </x:row>
    <x:row r="45" ht="20" hidden="0" customHeight="1">
      <x:c r="A45" s="90"/>
      <x:c r="B45" s="90"/>
      <x:c r="C45" s="90"/>
      <x:c r="D45" s="90"/>
      <x:c r="E45" s="90"/>
      <x:c r="F45" s="90"/>
      <x:c r="G45" s="90"/>
      <x:c r="H45" s="90"/>
      <x:c r="I45" s="90"/>
      <x:c r="J45" s="90"/>
    </x:row>
    <x:row r="46" ht="20" hidden="0" customHeight="1">
      <x:c r="A46" s="90"/>
      <x:c r="B46" s="90"/>
      <x:c r="C46" s="90"/>
      <x:c r="D46" s="90"/>
      <x:c r="E46" s="90"/>
      <x:c r="F46" s="90"/>
      <x:c r="G46" s="90"/>
      <x:c r="H46" s="90"/>
      <x:c r="I46" s="90"/>
      <x:c r="J46" s="90"/>
    </x:row>
    <x:row r="47" ht="20" hidden="0" customHeight="1">
      <x:c r="A47" s="90"/>
      <x:c r="B47" s="90"/>
      <x:c r="C47" s="90"/>
      <x:c r="D47" s="90"/>
      <x:c r="E47" s="90"/>
      <x:c r="F47" s="90"/>
      <x:c r="G47" s="90"/>
      <x:c r="H47" s="90"/>
      <x:c r="I47" s="90"/>
      <x:c r="J47" s="90"/>
    </x:row>
    <x:row r="48" ht="20" hidden="0" customHeight="1">
      <x:c r="A48" s="90"/>
      <x:c r="B48" s="90"/>
      <x:c r="C48" s="90"/>
      <x:c r="D48" s="90"/>
      <x:c r="E48" s="90"/>
      <x:c r="F48" s="90"/>
      <x:c r="G48" s="90"/>
      <x:c r="H48" s="90"/>
      <x:c r="I48" s="90"/>
      <x:c r="J48" s="90"/>
    </x:row>
    <x:row r="49" ht="20" hidden="0" customHeight="1">
      <x:c r="A49" s="90"/>
      <x:c r="B49" s="90"/>
      <x:c r="C49" s="90"/>
      <x:c r="D49" s="90"/>
      <x:c r="E49" s="90"/>
      <x:c r="F49" s="90"/>
      <x:c r="G49" s="90"/>
      <x:c r="H49" s="90"/>
      <x:c r="I49" s="90"/>
      <x:c r="J49" s="90"/>
    </x:row>
    <x:row r="50" ht="20" hidden="0" customHeight="1">
      <x:c r="A50" s="90"/>
      <x:c r="B50" s="90"/>
      <x:c r="C50" s="90"/>
      <x:c r="D50" s="90"/>
      <x:c r="E50" s="90"/>
      <x:c r="F50" s="90"/>
      <x:c r="G50" s="90"/>
      <x:c r="H50" s="90"/>
      <x:c r="I50" s="90"/>
      <x:c r="J50" s="90"/>
    </x:row>
    <x:row r="51" ht="20" customHeight="1">
      <x:c r="A51" s="90"/>
      <x:c r="B51" s="90"/>
      <x:c r="C51" s="90"/>
      <x:c r="D51" s="90"/>
      <x:c r="E51" s="90"/>
      <x:c r="F51" s="90"/>
      <x:c r="G51" s="90"/>
      <x:c r="H51" s="90"/>
      <x:c r="I51" s="90"/>
      <x:c r="J51" s="90"/>
    </x:row>
    <x:row r="52" ht="20" customHeight="1">
      <x:c r="A52" s="90"/>
      <x:c r="B52" s="90"/>
      <x:c r="C52" s="90"/>
      <x:c r="D52" s="90"/>
      <x:c r="E52" s="90"/>
      <x:c r="F52" s="90"/>
      <x:c r="G52" s="90"/>
      <x:c r="H52" s="90"/>
      <x:c r="I52" s="90"/>
      <x:c r="J52" s="90"/>
    </x:row>
    <x:row r="53" ht="20" customHeight="1">
      <x:c r="A53" s="90"/>
      <x:c r="B53" s="90"/>
      <x:c r="C53" s="90"/>
      <x:c r="D53" s="90"/>
      <x:c r="E53" s="90"/>
      <x:c r="F53" s="90"/>
      <x:c r="G53" s="90"/>
      <x:c r="H53" s="90"/>
      <x:c r="I53" s="90"/>
      <x:c r="J53" s="90"/>
    </x:row>
    <x:row r="54" ht="20" customHeight="1">
      <x:c r="A54" s="90"/>
      <x:c r="B54" s="90"/>
      <x:c r="C54" s="90"/>
      <x:c r="D54" s="90"/>
      <x:c r="E54" s="90"/>
      <x:c r="F54" s="90"/>
      <x:c r="G54" s="90"/>
      <x:c r="H54" s="90"/>
      <x:c r="I54" s="90"/>
      <x:c r="J54" s="90"/>
    </x:row>
    <x:row r="55" ht="20" customHeight="1">
      <x:c r="A55" s="90"/>
      <x:c r="B55" s="90"/>
      <x:c r="C55" s="90"/>
      <x:c r="D55" s="90"/>
      <x:c r="E55" s="90"/>
      <x:c r="F55" s="90"/>
      <x:c r="G55" s="90"/>
      <x:c r="H55" s="90"/>
      <x:c r="I55" s="90"/>
      <x:c r="J55" s="90"/>
    </x:row>
  </x:sheetData>
  <x:mergeCells>
    <x:mergeCell ref="A1:J1"/>
    <x:mergeCell ref="B2:J3"/>
    <x:mergeCell ref="B32:J35"/>
  </x:mergeCells>
  <x:conditionalFormatting sqref="G6:G29">
    <x:cfRule type="containsText" dxfId="0" priority="1" operator="containsText" text="FAIL"/>
    <x:cfRule type="containsText" dxfId="1" priority="2" operator="containsText" text="PASS"/>
  </x:conditionalFormatting>
  <x:pageMargins left="0.7" right="0.7" top="0.75" bottom="0.75" header="0.3" footer="0.3"/>
</x:worksheet>
</file>

<file path=xl/worksheets/sheet15.xml><?xml version="1.0" encoding="utf-8"?>
<x:worksheet xmlns:x="http://schemas.openxmlformats.org/spreadsheetml/2006/main">
  <x:sheetViews>
    <x:sheetView showGridLines="0" workbookViewId="0"/>
  </x:sheetViews>
  <x:sheetFormatPr defaultRowHeight="15"/>
  <x:cols>
    <x:col min="1" max="1" width="2" hidden="0" customWidth="1"/>
    <x:col min="2" max="2" width="49"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customHeight="1">
      <x:c r="A1" s="114" t="str">
        <x:v>SURGERY PARTNERS | SOURCE INPUTS</x:v>
      </x:c>
      <x:c r="B1" s="114"/>
      <x:c r="C1" s="114"/>
      <x:c r="D1" s="114"/>
      <x:c r="E1" s="114"/>
      <x:c r="F1" s="114"/>
      <x:c r="G1" s="114"/>
      <x:c r="H1" s="114"/>
      <x:c r="I1" s="114"/>
      <x:c r="J1" s="114"/>
    </x:row>
    <x:row r="2" ht="20" customHeight="1">
      <x:c r="A2" s="90"/>
      <x:c r="B2" s="118" t="str">
        <x:v>Reported financials as of June 30, 2026; FY2025 comparatives. Assumptions are separately labeled.</x:v>
      </x:c>
      <x:c r="C2" s="118"/>
      <x:c r="D2" s="118"/>
      <x:c r="E2" s="118"/>
      <x:c r="F2" s="118"/>
      <x:c r="G2" s="118"/>
      <x:c r="H2" s="118"/>
      <x:c r="I2" s="118"/>
      <x:c r="J2" s="118"/>
    </x:row>
    <x:row r="3" ht="20" customHeight="1">
      <x:c r="A3" s="90"/>
      <x:c r="B3" s="118"/>
      <x:c r="C3" s="118"/>
      <x:c r="D3" s="118"/>
      <x:c r="E3" s="118"/>
      <x:c r="F3" s="118"/>
      <x:c r="G3" s="118"/>
      <x:c r="H3" s="118"/>
      <x:c r="I3" s="118"/>
      <x:c r="J3" s="118"/>
    </x:row>
    <x:row r="4" ht="20" customHeight="1">
      <x:c r="A4" s="90"/>
      <x:c r="B4" s="90" t="str">
        <x:v>Source item</x:v>
      </x:c>
      <x:c r="C4" s="90" t="str">
        <x:v>Value</x:v>
      </x:c>
      <x:c r="D4" s="90" t="str">
        <x:v>Units</x:v>
      </x:c>
      <x:c r="E4" s="90" t="str">
        <x:v>Period / source</x:v>
      </x:c>
      <x:c r="F4" s="90" t="str"/>
      <x:c r="G4" s="90" t="str"/>
      <x:c r="H4" s="90"/>
      <x:c r="I4" s="90"/>
      <x:c r="J4" s="90"/>
    </x:row>
    <x:row r="5" ht="20" customHeight="1">
      <x:c r="A5" s="90"/>
      <x:c r="B5" s="90" t="str">
        <x:v>Valuation date</x:v>
      </x:c>
      <x:c r="C5" s="155" t="n">
        <x:v>46269</x:v>
      </x:c>
      <x:c r="D5" s="90" t="str">
        <x:v>date</x:v>
      </x:c>
      <x:c r="E5" s="90" t="str">
        <x:v>Assumption</x:v>
      </x:c>
      <x:c r="F5" s="90"/>
      <x:c r="G5" s="90"/>
      <x:c r="H5" s="90"/>
      <x:c r="I5" s="90"/>
      <x:c r="J5" s="90"/>
    </x:row>
    <x:row r="6" ht="20" customHeight="1">
      <x:c r="A6" s="90"/>
      <x:c r="B6" s="90" t="str">
        <x:v>Latest reported balance date</x:v>
      </x:c>
      <x:c r="C6" s="155" t="n">
        <x:v>46203</x:v>
      </x:c>
      <x:c r="D6" s="90" t="str">
        <x:v>date</x:v>
      </x:c>
      <x:c r="E6" s="90" t="str">
        <x:v>Q2</x:v>
      </x:c>
      <x:c r="F6" s="90"/>
      <x:c r="G6" s="90"/>
      <x:c r="H6" s="90"/>
      <x:c r="I6" s="90"/>
      <x:c r="J6" s="90"/>
    </x:row>
    <x:row r="7" ht="20" customHeight="1">
      <x:c r="A7" s="90"/>
      <x:c r="B7" s="90" t="str">
        <x:v>FY2026 year-end</x:v>
      </x:c>
      <x:c r="C7" s="155" t="n">
        <x:v>46387</x:v>
      </x:c>
      <x:c r="D7" s="90" t="str">
        <x:v>date</x:v>
      </x:c>
      <x:c r="E7" s="90" t="str">
        <x:v>Fiscal calendar</x:v>
      </x:c>
      <x:c r="F7" s="90"/>
      <x:c r="G7" s="90"/>
      <x:c r="H7" s="90"/>
      <x:c r="I7" s="90"/>
      <x:c r="J7" s="90"/>
    </x:row>
    <x:row r="8" ht="20" customHeight="1">
      <x:c r="A8" s="90"/>
      <x:c r="B8" s="90" t="str">
        <x:v>Quarter adjusted diluted shares (m)</x:v>
      </x:c>
      <x:c r="C8" s="138" t="n">
        <x:v>129.223</x:v>
      </x:c>
      <x:c r="D8" s="90" t="str">
        <x:v>m</x:v>
      </x:c>
      <x:c r="E8" s="90" t="str">
        <x:v>Q2; weighted-average valuation denominator assumption</x:v>
      </x:c>
      <x:c r="F8" s="90"/>
      <x:c r="G8" s="90"/>
      <x:c r="H8" s="90"/>
      <x:c r="I8" s="90"/>
      <x:c r="J8" s="90"/>
    </x:row>
    <x:row r="9" ht="20" customHeight="1">
      <x:c r="A9" s="90"/>
      <x:c r="B9" s="90" t="str">
        <x:v>Quarter basic shares (m)</x:v>
      </x:c>
      <x:c r="C9" s="138" t="n">
        <x:v>128.825</x:v>
      </x:c>
      <x:c r="D9" s="90" t="str">
        <x:v>m</x:v>
      </x:c>
      <x:c r="E9" s="90" t="str">
        <x:v>Q2; weighted-average market equity assumption</x:v>
      </x:c>
      <x:c r="F9" s="90"/>
      <x:c r="G9" s="90"/>
      <x:c r="H9" s="90"/>
      <x:c r="I9" s="90"/>
      <x:c r="J9" s="90"/>
    </x:row>
    <x:row r="10" ht="20" customHeight="1">
      <x:c r="A10" s="90"/>
      <x:c r="B10" s="90" t="str">
        <x:v>Cash and equivalents</x:v>
      </x:c>
      <x:c r="C10" s="138" t="n">
        <x:v>216.7</x:v>
      </x:c>
      <x:c r="D10" s="90" t="str">
        <x:v>$m</x:v>
      </x:c>
      <x:c r="E10" s="90" t="str">
        <x:v>Q2</x:v>
      </x:c>
      <x:c r="F10" s="90"/>
      <x:c r="G10" s="90"/>
      <x:c r="H10" s="90"/>
      <x:c r="I10" s="90"/>
      <x:c r="J10" s="90"/>
    </x:row>
    <x:row r="11" ht="20" customHeight="1">
      <x:c r="A11" s="90"/>
      <x:c r="B11" s="90" t="str">
        <x:v>Current funded debt</x:v>
      </x:c>
      <x:c r="C11" s="138" t="n">
        <x:v>102.9</x:v>
      </x:c>
      <x:c r="D11" s="90" t="str">
        <x:v>$m</x:v>
      </x:c>
      <x:c r="E11" s="90" t="str">
        <x:v>Q2</x:v>
      </x:c>
      <x:c r="F11" s="90"/>
      <x:c r="G11" s="90"/>
      <x:c r="H11" s="90"/>
      <x:c r="I11" s="90"/>
      <x:c r="J11" s="90"/>
    </x:row>
    <x:row r="12" ht="20" customHeight="1">
      <x:c r="A12" s="90"/>
      <x:c r="B12" s="90" t="str">
        <x:v>Long-term funded debt</x:v>
      </x:c>
      <x:c r="C12" s="138" t="n">
        <x:v>3648.3</x:v>
      </x:c>
      <x:c r="D12" s="90" t="str">
        <x:v>$m</x:v>
      </x:c>
      <x:c r="E12" s="90" t="str">
        <x:v>Q2</x:v>
      </x:c>
      <x:c r="F12" s="90"/>
      <x:c r="G12" s="90"/>
      <x:c r="H12" s="90"/>
      <x:c r="I12" s="90"/>
      <x:c r="J12" s="90"/>
    </x:row>
    <x:row r="13" ht="20" customHeight="1">
      <x:c r="A13" s="90"/>
      <x:c r="B13" s="90" t="str">
        <x:v>Total assets</x:v>
      </x:c>
      <x:c r="C13" s="138" t="n">
        <x:v>8049.7</x:v>
      </x:c>
      <x:c r="D13" s="90" t="str">
        <x:v>$m</x:v>
      </x:c>
      <x:c r="E13" s="90" t="str">
        <x:v>Q2</x:v>
      </x:c>
      <x:c r="F13" s="90"/>
      <x:c r="G13" s="90"/>
      <x:c r="H13" s="90"/>
      <x:c r="I13" s="90"/>
      <x:c r="J13" s="90"/>
    </x:row>
    <x:row r="14" ht="20" customHeight="1">
      <x:c r="A14" s="90"/>
      <x:c r="B14" s="90" t="str">
        <x:v>Total liabilities</x:v>
      </x:c>
      <x:c r="C14" s="138" t="n">
        <x:v>4581.3</x:v>
      </x:c>
      <x:c r="D14" s="90" t="str">
        <x:v>$m</x:v>
      </x:c>
      <x:c r="E14" s="90" t="str">
        <x:v>Q2</x:v>
      </x:c>
      <x:c r="F14" s="90"/>
      <x:c r="G14" s="90"/>
      <x:c r="H14" s="90"/>
      <x:c r="I14" s="90"/>
      <x:c r="J14" s="90"/>
    </x:row>
    <x:row r="15" ht="20" customHeight="1">
      <x:c r="A15" s="90"/>
      <x:c r="B15" s="90" t="str">
        <x:v>Redeemable NCI</x:v>
      </x:c>
      <x:c r="C15" s="138" t="n">
        <x:v>366.7</x:v>
      </x:c>
      <x:c r="D15" s="90" t="str">
        <x:v>$m</x:v>
      </x:c>
      <x:c r="E15" s="90" t="str">
        <x:v>Q2</x:v>
      </x:c>
      <x:c r="F15" s="90"/>
      <x:c r="G15" s="90"/>
      <x:c r="H15" s="90"/>
      <x:c r="I15" s="90"/>
      <x:c r="J15" s="90"/>
    </x:row>
    <x:row r="16" ht="20" customHeight="1">
      <x:c r="A16" s="90"/>
      <x:c r="B16" s="90" t="str">
        <x:v>Nonredeemable NCI</x:v>
      </x:c>
      <x:c r="C16" s="138" t="n">
        <x:v>1431</x:v>
      </x:c>
      <x:c r="D16" s="90" t="str">
        <x:v>$m</x:v>
      </x:c>
      <x:c r="E16" s="90" t="str">
        <x:v>Q2</x:v>
      </x:c>
      <x:c r="F16" s="90"/>
      <x:c r="G16" s="90"/>
      <x:c r="H16" s="90"/>
      <x:c r="I16" s="90"/>
      <x:c r="J16" s="90"/>
    </x:row>
    <x:row r="17" ht="20" customHeight="1">
      <x:c r="A17" s="90"/>
      <x:c r="B17" s="90" t="str">
        <x:v>Parent stockholders equity</x:v>
      </x:c>
      <x:c r="C17" s="138" t="n">
        <x:v>1670.7</x:v>
      </x:c>
      <x:c r="D17" s="90" t="str">
        <x:v>$m</x:v>
      </x:c>
      <x:c r="E17" s="90" t="str">
        <x:v>Q2</x:v>
      </x:c>
      <x:c r="F17" s="90"/>
      <x:c r="G17" s="90"/>
      <x:c r="H17" s="90"/>
      <x:c r="I17" s="90"/>
      <x:c r="J17" s="90"/>
    </x:row>
    <x:row r="18" ht="20" customHeight="1">
      <x:c r="A18" s="90"/>
      <x:c r="B18" s="90" t="str">
        <x:v>H1 revenue</x:v>
      </x:c>
      <x:c r="C18" s="138" t="n">
        <x:v>1659.8</x:v>
      </x:c>
      <x:c r="D18" s="90" t="str">
        <x:v>$m</x:v>
      </x:c>
      <x:c r="E18" s="90" t="str">
        <x:v>Q2</x:v>
      </x:c>
      <x:c r="F18" s="90"/>
      <x:c r="G18" s="90"/>
      <x:c r="H18" s="90"/>
      <x:c r="I18" s="90"/>
      <x:c r="J18" s="90"/>
    </x:row>
    <x:row r="19" ht="20" customHeight="1">
      <x:c r="A19" s="90"/>
      <x:c r="B19" s="90" t="str">
        <x:v>H1 company Adjusted EBITDA</x:v>
      </x:c>
      <x:c r="C19" s="138" t="n">
        <x:v>227.5</x:v>
      </x:c>
      <x:c r="D19" s="90" t="str">
        <x:v>$m</x:v>
      </x:c>
      <x:c r="E19" s="90" t="str">
        <x:v>Q2</x:v>
      </x:c>
      <x:c r="F19" s="90"/>
      <x:c r="G19" s="90"/>
      <x:c r="H19" s="90"/>
      <x:c r="I19" s="90"/>
      <x:c r="J19" s="90"/>
    </x:row>
    <x:row r="20" ht="20" customHeight="1">
      <x:c r="A20" s="90"/>
      <x:c r="B20" s="90" t="str">
        <x:v>H1 GAAP operating income</x:v>
      </x:c>
      <x:c r="C20" s="138" t="n">
        <x:v>167.9</x:v>
      </x:c>
      <x:c r="D20" s="90" t="str">
        <x:v>$m</x:v>
      </x:c>
      <x:c r="E20" s="90" t="str">
        <x:v>Q2</x:v>
      </x:c>
      <x:c r="F20" s="90"/>
      <x:c r="G20" s="90"/>
      <x:c r="H20" s="90"/>
      <x:c r="I20" s="90"/>
      <x:c r="J20" s="90"/>
    </x:row>
    <x:row r="21" ht="20" customHeight="1">
      <x:c r="A21" s="90"/>
      <x:c r="B21" s="90" t="str">
        <x:v>H1 D&amp;A</x:v>
      </x:c>
      <x:c r="C21" s="138" t="n">
        <x:v>77.8</x:v>
      </x:c>
      <x:c r="D21" s="90" t="str">
        <x:v>$m</x:v>
      </x:c>
      <x:c r="E21" s="90" t="str">
        <x:v>Q2</x:v>
      </x:c>
      <x:c r="F21" s="90"/>
      <x:c r="G21" s="90"/>
      <x:c r="H21" s="90"/>
      <x:c r="I21" s="90"/>
      <x:c r="J21" s="90"/>
    </x:row>
    <x:row r="22" ht="20" customHeight="1">
      <x:c r="A22" s="90"/>
      <x:c r="B22" s="90" t="str">
        <x:v>H1 NCI net income</x:v>
      </x:c>
      <x:c r="C22" s="138" t="n">
        <x:v>78.5</x:v>
      </x:c>
      <x:c r="D22" s="90" t="str">
        <x:v>$m</x:v>
      </x:c>
      <x:c r="E22" s="90" t="str">
        <x:v>Q2</x:v>
      </x:c>
      <x:c r="F22" s="90"/>
      <x:c r="G22" s="90"/>
      <x:c r="H22" s="90"/>
      <x:c r="I22" s="90"/>
      <x:c r="J22" s="90"/>
    </x:row>
    <x:row r="23" ht="20" customHeight="1">
      <x:c r="A23" s="90"/>
      <x:c r="B23" s="90" t="str">
        <x:v>H1 NCI cash distributions</x:v>
      </x:c>
      <x:c r="C23" s="138" t="n">
        <x:v>103.5</x:v>
      </x:c>
      <x:c r="D23" s="90" t="str">
        <x:v>$m</x:v>
      </x:c>
      <x:c r="E23" s="90" t="str">
        <x:v>Q2</x:v>
      </x:c>
      <x:c r="F23" s="90"/>
      <x:c r="G23" s="90"/>
      <x:c r="H23" s="90"/>
      <x:c r="I23" s="90"/>
      <x:c r="J23" s="90"/>
    </x:row>
    <x:row r="24" ht="20" customHeight="1">
      <x:c r="A24" s="90"/>
      <x:c r="B24" s="90" t="str">
        <x:v>H1 net cash from operations</x:v>
      </x:c>
      <x:c r="C24" s="138" t="n">
        <x:v>71</x:v>
      </x:c>
      <x:c r="D24" s="90" t="str">
        <x:v>$m</x:v>
      </x:c>
      <x:c r="E24" s="90" t="str">
        <x:v>Q2</x:v>
      </x:c>
      <x:c r="F24" s="90"/>
      <x:c r="G24" s="90"/>
      <x:c r="H24" s="90"/>
      <x:c r="I24" s="90"/>
      <x:c r="J24" s="90"/>
    </x:row>
    <x:row r="25" ht="20" customHeight="1">
      <x:c r="A25" s="90"/>
      <x:c r="B25" s="90" t="str">
        <x:v>H1 capex</x:v>
      </x:c>
      <x:c r="C25" s="138" t="n">
        <x:v>37.8</x:v>
      </x:c>
      <x:c r="D25" s="90" t="str">
        <x:v>$m</x:v>
      </x:c>
      <x:c r="E25" s="90" t="str">
        <x:v>Q2</x:v>
      </x:c>
      <x:c r="F25" s="90"/>
      <x:c r="G25" s="90"/>
      <x:c r="H25" s="90"/>
      <x:c r="I25" s="90"/>
      <x:c r="J25" s="90"/>
    </x:row>
    <x:row r="26" ht="20" customHeight="1">
      <x:c r="A26" s="90"/>
      <x:c r="B26" s="90" t="str">
        <x:v>H1 SBC</x:v>
      </x:c>
      <x:c r="C26" s="138" t="n">
        <x:v>9.6</x:v>
      </x:c>
      <x:c r="D26" s="90" t="str">
        <x:v>$m</x:v>
      </x:c>
      <x:c r="E26" s="90" t="str">
        <x:v>Q2</x:v>
      </x:c>
      <x:c r="F26" s="90"/>
      <x:c r="G26" s="90"/>
      <x:c r="H26" s="90"/>
      <x:c r="I26" s="90"/>
      <x:c r="J26" s="90"/>
    </x:row>
    <x:row r="27" ht="20" customHeight="1">
      <x:c r="A27" s="90"/>
      <x:c r="B27" s="90" t="str">
        <x:v>H1 transaction and integration costs</x:v>
      </x:c>
      <x:c r="C27" s="138" t="n">
        <x:v>34</x:v>
      </x:c>
      <x:c r="D27" s="90" t="str">
        <x:v>$m</x:v>
      </x:c>
      <x:c r="E27" s="90" t="str">
        <x:v>Q2</x:v>
      </x:c>
      <x:c r="F27" s="90"/>
      <x:c r="G27" s="90"/>
      <x:c r="H27" s="90"/>
      <x:c r="I27" s="90"/>
      <x:c r="J27" s="90"/>
    </x:row>
    <x:row r="28" ht="20" customHeight="1">
      <x:c r="A28" s="90"/>
      <x:c r="B28" s="90" t="str">
        <x:v>H1 de novo costs</x:v>
      </x:c>
      <x:c r="C28" s="138" t="n">
        <x:v>3.1</x:v>
      </x:c>
      <x:c r="D28" s="90" t="str">
        <x:v>$m</x:v>
      </x:c>
      <x:c r="E28" s="90" t="str">
        <x:v>Q2</x:v>
      </x:c>
      <x:c r="F28" s="90"/>
      <x:c r="G28" s="90"/>
      <x:c r="H28" s="90"/>
      <x:c r="I28" s="90"/>
      <x:c r="J28" s="90"/>
    </x:row>
    <x:row r="29" ht="20" customHeight="1">
      <x:c r="A29" s="90"/>
      <x:c r="B29" s="90" t="str">
        <x:v>H1 disposal losses</x:v>
      </x:c>
      <x:c r="C29" s="138" t="n">
        <x:v>6.7</x:v>
      </x:c>
      <x:c r="D29" s="90" t="str">
        <x:v>$m</x:v>
      </x:c>
      <x:c r="E29" s="90" t="str">
        <x:v>Q2</x:v>
      </x:c>
      <x:c r="F29" s="90"/>
      <x:c r="G29" s="90"/>
      <x:c r="H29" s="90"/>
      <x:c r="I29" s="90"/>
      <x:c r="J29" s="90"/>
    </x:row>
    <x:row r="30" ht="20" customHeight="1">
      <x:c r="A30" s="90"/>
      <x:c r="B30" s="90" t="str">
        <x:v>H1 litigation costs</x:v>
      </x:c>
      <x:c r="C30" s="138" t="n">
        <x:v>6.9</x:v>
      </x:c>
      <x:c r="D30" s="90" t="str">
        <x:v>$m</x:v>
      </x:c>
      <x:c r="E30" s="90" t="str">
        <x:v>Q2</x:v>
      </x:c>
      <x:c r="F30" s="90"/>
      <x:c r="G30" s="90"/>
      <x:c r="H30" s="90"/>
      <x:c r="I30" s="90"/>
      <x:c r="J30" s="90"/>
    </x:row>
    <x:row r="31" ht="20" customHeight="1">
      <x:c r="A31" s="90"/>
      <x:c r="B31" s="90" t="str">
        <x:v>H1 pretax income</x:v>
      </x:c>
      <x:c r="C31" s="138" t="n">
        <x:v>29</x:v>
      </x:c>
      <x:c r="D31" s="90" t="str">
        <x:v>$m</x:v>
      </x:c>
      <x:c r="E31" s="90" t="str">
        <x:v>Q2</x:v>
      </x:c>
      <x:c r="F31" s="90"/>
      <x:c r="G31" s="90"/>
      <x:c r="H31" s="90"/>
      <x:c r="I31" s="90"/>
      <x:c r="J31" s="90"/>
    </x:row>
    <x:row r="32" ht="20" customHeight="1">
      <x:c r="A32" s="90"/>
      <x:c r="B32" s="90" t="str">
        <x:v>H1 net interest expense</x:v>
      </x:c>
      <x:c r="C32" s="138" t="n">
        <x:v>138.9</x:v>
      </x:c>
      <x:c r="D32" s="90" t="str">
        <x:v>$m</x:v>
      </x:c>
      <x:c r="E32" s="90" t="str">
        <x:v>Q2</x:v>
      </x:c>
      <x:c r="F32" s="90"/>
      <x:c r="G32" s="90"/>
      <x:c r="H32" s="90"/>
      <x:c r="I32" s="90"/>
      <x:c r="J32" s="90"/>
    </x:row>
    <x:row r="33" ht="20" customHeight="1">
      <x:c r="A33" s="90"/>
      <x:c r="B33" s="90" t="str">
        <x:v>H1 consolidated net income</x:v>
      </x:c>
      <x:c r="C33" s="138" t="n">
        <x:v>27.6</x:v>
      </x:c>
      <x:c r="D33" s="90" t="str">
        <x:v>$m</x:v>
      </x:c>
      <x:c r="E33" s="90" t="str">
        <x:v>Q2</x:v>
      </x:c>
      <x:c r="F33" s="90"/>
      <x:c r="G33" s="90"/>
      <x:c r="H33" s="90"/>
      <x:c r="I33" s="90"/>
      <x:c r="J33" s="90"/>
    </x:row>
    <x:row r="34" ht="20" customHeight="1">
      <x:c r="A34" s="90"/>
      <x:c r="B34" s="90" t="str">
        <x:v>H1 parent net loss</x:v>
      </x:c>
      <x:c r="C34" s="138" t="n">
        <x:v>-50.9</x:v>
      </x:c>
      <x:c r="D34" s="90" t="str">
        <x:v>$m</x:v>
      </x:c>
      <x:c r="E34" s="90" t="str">
        <x:v>Q2</x:v>
      </x:c>
      <x:c r="F34" s="90"/>
      <x:c r="G34" s="90"/>
      <x:c r="H34" s="90"/>
      <x:c r="I34" s="90"/>
      <x:c r="J34" s="90"/>
    </x:row>
    <x:row r="35" ht="20" customHeight="1">
      <x:c r="A35" s="90"/>
      <x:c r="B35" s="90" t="str">
        <x:v>FY2025 revenue</x:v>
      </x:c>
      <x:c r="C35" s="138" t="n">
        <x:v>3308.7</x:v>
      </x:c>
      <x:c r="D35" s="90" t="str">
        <x:v>$m</x:v>
      </x:c>
      <x:c r="E35" s="90" t="str">
        <x:v>FY</x:v>
      </x:c>
      <x:c r="F35" s="90"/>
      <x:c r="G35" s="90"/>
      <x:c r="H35" s="90"/>
      <x:c r="I35" s="90"/>
      <x:c r="J35" s="90"/>
    </x:row>
    <x:row r="36" ht="20" customHeight="1">
      <x:c r="A36" s="90"/>
      <x:c r="B36" s="90" t="str">
        <x:v>FY2025 operating income</x:v>
      </x:c>
      <x:c r="C36" s="138" t="n">
        <x:v>389.5</x:v>
      </x:c>
      <x:c r="D36" s="90" t="str">
        <x:v>$m</x:v>
      </x:c>
      <x:c r="E36" s="90" t="str">
        <x:v>FY</x:v>
      </x:c>
      <x:c r="F36" s="90"/>
      <x:c r="G36" s="90"/>
      <x:c r="H36" s="90"/>
      <x:c r="I36" s="90"/>
      <x:c r="J36" s="90"/>
    </x:row>
    <x:row r="37" ht="20" customHeight="1">
      <x:c r="A37" s="90"/>
      <x:c r="B37" s="90" t="str">
        <x:v>FY2025 D&amp;A</x:v>
      </x:c>
      <x:c r="C37" s="138" t="n">
        <x:v>176</x:v>
      </x:c>
      <x:c r="D37" s="90" t="str">
        <x:v>$m</x:v>
      </x:c>
      <x:c r="E37" s="90" t="str">
        <x:v>FY</x:v>
      </x:c>
      <x:c r="F37" s="90"/>
      <x:c r="G37" s="90"/>
      <x:c r="H37" s="90"/>
      <x:c r="I37" s="90"/>
      <x:c r="J37" s="90"/>
    </x:row>
    <x:row r="38" ht="20" customHeight="1">
      <x:c r="A38" s="90"/>
      <x:c r="B38" s="90" t="str">
        <x:v>FY2025 company Adjusted EBITDA</x:v>
      </x:c>
      <x:c r="C38" s="138" t="n">
        <x:v>526.2</x:v>
      </x:c>
      <x:c r="D38" s="90" t="str">
        <x:v>$m</x:v>
      </x:c>
      <x:c r="E38" s="90" t="str">
        <x:v>FY</x:v>
      </x:c>
      <x:c r="F38" s="90"/>
      <x:c r="G38" s="90"/>
      <x:c r="H38" s="90"/>
      <x:c r="I38" s="90"/>
      <x:c r="J38" s="90"/>
    </x:row>
    <x:row r="39" ht="20" customHeight="1">
      <x:c r="A39" s="90"/>
      <x:c r="B39" s="90" t="str">
        <x:v>FY2025 NCI net income</x:v>
      </x:c>
      <x:c r="C39" s="138" t="n">
        <x:v>176.8</x:v>
      </x:c>
      <x:c r="D39" s="90" t="str">
        <x:v>$m</x:v>
      </x:c>
      <x:c r="E39" s="90" t="str">
        <x:v>FY</x:v>
      </x:c>
      <x:c r="F39" s="90"/>
      <x:c r="G39" s="90"/>
      <x:c r="H39" s="90"/>
      <x:c r="I39" s="90"/>
      <x:c r="J39" s="90"/>
    </x:row>
    <x:row r="40" ht="20" customHeight="1">
      <x:c r="A40" s="90"/>
      <x:c r="B40" s="90" t="str">
        <x:v>FY2025 NCI cash distributions</x:v>
      </x:c>
      <x:c r="C40" s="138" t="n">
        <x:v>226</x:v>
      </x:c>
      <x:c r="D40" s="90" t="str">
        <x:v>$m</x:v>
      </x:c>
      <x:c r="E40" s="90" t="str">
        <x:v>FY</x:v>
      </x:c>
      <x:c r="F40" s="90"/>
      <x:c r="G40" s="90"/>
      <x:c r="H40" s="90"/>
      <x:c r="I40" s="90"/>
      <x:c r="J40" s="90"/>
    </x:row>
    <x:row r="41" ht="20" customHeight="1">
      <x:c r="A41" s="90"/>
      <x:c r="B41" s="90" t="str">
        <x:v>FY2025 cash from operations</x:v>
      </x:c>
      <x:c r="C41" s="138" t="n">
        <x:v>274.3</x:v>
      </x:c>
      <x:c r="D41" s="90" t="str">
        <x:v>$m</x:v>
      </x:c>
      <x:c r="E41" s="90" t="str">
        <x:v>FY</x:v>
      </x:c>
      <x:c r="F41" s="90"/>
      <x:c r="G41" s="90"/>
      <x:c r="H41" s="90"/>
      <x:c r="I41" s="90"/>
      <x:c r="J41" s="90"/>
    </x:row>
    <x:row r="42" ht="20" customHeight="1">
      <x:c r="A42" s="90"/>
      <x:c r="B42" s="90" t="str">
        <x:v>FY2025 capex</x:v>
      </x:c>
      <x:c r="C42" s="138" t="n">
        <x:v>78.7</x:v>
      </x:c>
      <x:c r="D42" s="90" t="str">
        <x:v>$m</x:v>
      </x:c>
      <x:c r="E42" s="90" t="str">
        <x:v>FY</x:v>
      </x:c>
      <x:c r="F42" s="90"/>
      <x:c r="G42" s="90"/>
      <x:c r="H42" s="90"/>
      <x:c r="I42" s="90"/>
      <x:c r="J42" s="90"/>
    </x:row>
    <x:row r="43" ht="20" customHeight="1">
      <x:c r="A43" s="90"/>
      <x:c r="B43" s="90" t="str">
        <x:v>FY2025 SBC</x:v>
      </x:c>
      <x:c r="C43" s="138" t="n">
        <x:v>14.8</x:v>
      </x:c>
      <x:c r="D43" s="90" t="str">
        <x:v>$m</x:v>
      </x:c>
      <x:c r="E43" s="90" t="str">
        <x:v>FY</x:v>
      </x:c>
      <x:c r="F43" s="90"/>
      <x:c r="G43" s="90"/>
      <x:c r="H43" s="90"/>
      <x:c r="I43" s="90"/>
      <x:c r="J43" s="90"/>
    </x:row>
    <x:row r="44" ht="20" customHeight="1">
      <x:c r="A44" s="90"/>
      <x:c r="B44" s="90" t="str">
        <x:v>Prior H1 operating income</x:v>
      </x:c>
      <x:c r="C44" s="138" t="n">
        <x:v>173.6</x:v>
      </x:c>
      <x:c r="D44" s="90" t="str">
        <x:v>$m</x:v>
      </x:c>
      <x:c r="E44" s="90" t="str">
        <x:v>Q2 comparative</x:v>
      </x:c>
      <x:c r="F44" s="90"/>
      <x:c r="G44" s="90"/>
      <x:c r="H44" s="90"/>
      <x:c r="I44" s="90"/>
      <x:c r="J44" s="90"/>
    </x:row>
    <x:row r="45" ht="20" customHeight="1">
      <x:c r="A45" s="90"/>
      <x:c r="B45" s="90" t="str">
        <x:v>Prior H1 D&amp;A</x:v>
      </x:c>
      <x:c r="C45" s="138" t="n">
        <x:v>76.6</x:v>
      </x:c>
      <x:c r="D45" s="90" t="str">
        <x:v>$m</x:v>
      </x:c>
      <x:c r="E45" s="90" t="str">
        <x:v>Q2 comparative</x:v>
      </x:c>
      <x:c r="F45" s="90"/>
      <x:c r="G45" s="90"/>
      <x:c r="H45" s="90"/>
      <x:c r="I45" s="90"/>
      <x:c r="J45" s="90"/>
    </x:row>
    <x:row r="46" ht="20" customHeight="1">
      <x:c r="A46" s="90"/>
      <x:c r="B46" s="90" t="str">
        <x:v>Prior H1 company Adjusted EBITDA</x:v>
      </x:c>
      <x:c r="C46" s="138" t="n">
        <x:v>232.9</x:v>
      </x:c>
      <x:c r="D46" s="90" t="str">
        <x:v>$m</x:v>
      </x:c>
      <x:c r="E46" s="90" t="str">
        <x:v>Q2 comparative</x:v>
      </x:c>
      <x:c r="F46" s="90"/>
      <x:c r="G46" s="90"/>
      <x:c r="H46" s="90"/>
      <x:c r="I46" s="90"/>
      <x:c r="J46" s="90"/>
    </x:row>
    <x:row r="47" ht="20" customHeight="1">
      <x:c r="A47" s="90"/>
      <x:c r="B47" s="90" t="str">
        <x:v>Prior H1 NCI net income</x:v>
      </x:c>
      <x:c r="C47" s="138" t="n">
        <x:v>84.8</x:v>
      </x:c>
      <x:c r="D47" s="90" t="str">
        <x:v>$m</x:v>
      </x:c>
      <x:c r="E47" s="90" t="str">
        <x:v>Q2 comparative</x:v>
      </x:c>
      <x:c r="F47" s="90"/>
      <x:c r="G47" s="90"/>
      <x:c r="H47" s="90"/>
      <x:c r="I47" s="90"/>
      <x:c r="J47" s="90"/>
    </x:row>
    <x:row r="48" ht="34" customHeight="1">
      <x:c r="A48" s="90"/>
      <x:c r="B48" s="90" t="str">
        <x:v>Debt issuance costs and fair value discount</x:v>
      </x:c>
      <x:c r="C48" s="138" t="n">
        <x:v>31</x:v>
      </x:c>
      <x:c r="D48" s="90" t="str">
        <x:v>$m</x:v>
      </x:c>
      <x:c r="E48" s="116" t="str">
        <x:v>Q2 10-Q Note 3: $29.9m issuance/discount plus $1.1m term-loan fair value discount</x:v>
      </x:c>
      <x:c r="F48" s="116"/>
      <x:c r="G48" s="116"/>
      <x:c r="H48" s="116"/>
      <x:c r="I48" s="116"/>
      <x:c r="J48" s="116"/>
    </x:row>
    <x:row r="49" ht="20" customHeight="1">
      <x:c r="A49" s="90"/>
      <x:c r="B49" s="90" t="str">
        <x:v>Funded debt principal incl. finance leases</x:v>
      </x:c>
      <x:c r="C49" s="138" t="n">
        <x:f>SUM(C11:C12)+C48</x:f>
        <x:v>3782.2000000000003</x:v>
      </x:c>
      <x:c r="D49" s="90"/>
      <x:c r="E49" s="90"/>
      <x:c r="F49" s="90"/>
      <x:c r="G49" s="90"/>
      <x:c r="H49" s="90"/>
      <x:c r="I49" s="90"/>
      <x:c r="J49" s="90"/>
    </x:row>
    <x:row r="50" ht="20" customHeight="1">
      <x:c r="A50" s="90"/>
      <x:c r="B50" s="90" t="str">
        <x:v>Diluted valuation denominator</x:v>
      </x:c>
      <x:c r="C50" s="157" t="n">
        <x:f>C8+'Assumptions'!C44</x:f>
        <x:v>129.223</x:v>
      </x:c>
      <x:c r="D50" s="90"/>
      <x:c r="E50" s="90"/>
      <x:c r="F50" s="90"/>
      <x:c r="G50" s="90"/>
      <x:c r="H50" s="90"/>
      <x:c r="I50" s="90"/>
      <x:c r="J50" s="90"/>
    </x:row>
    <x:row r="51" ht="20" customHeight="1">
      <x:c r="A51" s="90"/>
      <x:c r="B51" s="90" t="str">
        <x:v>Cash credited to parent</x:v>
      </x:c>
      <x:c r="C51" s="157" t="n">
        <x:f>C10*'Assumptions'!C42</x:f>
        <x:v>216.7</x:v>
      </x:c>
      <x:c r="D51" s="90"/>
      <x:c r="E51" s="90"/>
      <x:c r="F51" s="90"/>
      <x:c r="G51" s="90"/>
      <x:c r="H51" s="90"/>
      <x:c r="I51" s="90"/>
      <x:c r="J51" s="90"/>
    </x:row>
    <x:row r="52" ht="20" customHeight="1">
      <x:c r="A52" s="90"/>
      <x:c r="B52" s="90" t="str">
        <x:v>Excess cash in equity bridge</x:v>
      </x:c>
      <x:c r="C52" s="157" t="n">
        <x:f>MAX(0,C51-'Assumptions'!C25)</x:f>
        <x:v>116.69999999999999</x:v>
      </x:c>
      <x:c r="D52" s="90"/>
      <x:c r="E52" s="90"/>
      <x:c r="F52" s="90"/>
      <x:c r="G52" s="90"/>
      <x:c r="H52" s="90"/>
      <x:c r="I52" s="90"/>
      <x:c r="J52" s="90"/>
    </x:row>
    <x:row r="53" ht="20" customHeight="1">
      <x:c r="A53" s="90"/>
      <x:c r="B53" s="90" t="str">
        <x:v>Net debt in equity bridge</x:v>
      </x:c>
      <x:c r="C53" s="138" t="n">
        <x:f>C49-C52</x:f>
        <x:v>3665.5000000000005</x:v>
      </x:c>
      <x:c r="D53" s="90"/>
      <x:c r="E53" s="90"/>
      <x:c r="F53" s="90"/>
      <x:c r="G53" s="90"/>
      <x:c r="H53" s="90"/>
      <x:c r="I53" s="90"/>
      <x:c r="J53" s="90"/>
    </x:row>
    <x:row r="54" ht="20" customHeight="1">
      <x:c r="A54" s="90"/>
      <x:c r="B54" s="90" t="str">
        <x:v>Reported NCI aggregate</x:v>
      </x:c>
      <x:c r="C54" s="138" t="n">
        <x:f>SUM(C15:C16)</x:f>
        <x:v>1797.7</x:v>
      </x:c>
      <x:c r="D54" s="90"/>
      <x:c r="E54" s="90"/>
      <x:c r="F54" s="90"/>
      <x:c r="G54" s="90"/>
      <x:c r="H54" s="90"/>
      <x:c r="I54" s="90"/>
      <x:c r="J54" s="90"/>
    </x:row>
    <x:row r="55" ht="20" customHeight="1">
      <x:c r="A55" s="90"/>
      <x:c r="B55" s="90" t="str">
        <x:v>LTM GAAP EBITDA proxy</x:v>
      </x:c>
      <x:c r="C55" s="138" t="n">
        <x:f>C36+C37+C20+C21-C44-C45</x:f>
        <x:v>560.9999999999999</x:v>
      </x:c>
      <x:c r="D55" s="90"/>
      <x:c r="E55" s="90"/>
      <x:c r="F55" s="90"/>
      <x:c r="G55" s="90"/>
      <x:c r="H55" s="90"/>
      <x:c r="I55" s="90"/>
      <x:c r="J55" s="90"/>
    </x:row>
    <x:row r="56" ht="20" customHeight="1">
      <x:c r="A56" s="90"/>
      <x:c r="B56" s="90" t="str">
        <x:v>LTM company Adjusted EBITDA</x:v>
      </x:c>
      <x:c r="C56" s="138" t="n">
        <x:f>C38+C19-C46</x:f>
        <x:v>520.8000000000001</x:v>
      </x:c>
      <x:c r="D56" s="90"/>
      <x:c r="E56" s="90"/>
      <x:c r="F56" s="90"/>
      <x:c r="G56" s="90"/>
      <x:c r="H56" s="90"/>
      <x:c r="I56" s="90"/>
      <x:c r="J56" s="90"/>
    </x:row>
    <x:row r="57" ht="20" customHeight="1">
      <x:c r="A57" s="90"/>
      <x:c r="B57" s="90" t="str">
        <x:v>LTM NCI earnings</x:v>
      </x:c>
      <x:c r="C57" s="138" t="n">
        <x:f>C39+C22-C47</x:f>
        <x:v>170.5</x:v>
      </x:c>
      <x:c r="D57" s="90"/>
      <x:c r="E57" s="90"/>
      <x:c r="F57" s="90"/>
      <x:c r="G57" s="90"/>
      <x:c r="H57" s="90"/>
      <x:c r="I57" s="90"/>
      <x:c r="J57" s="90"/>
    </x:row>
    <x:row r="58" ht="20" customHeight="1">
      <x:c r="A58" s="90"/>
      <x:c r="B58" s="90"/>
      <x:c r="C58" s="90"/>
      <x:c r="D58" s="90"/>
      <x:c r="E58" s="90"/>
      <x:c r="F58" s="90"/>
      <x:c r="G58" s="90"/>
      <x:c r="H58" s="90"/>
      <x:c r="I58" s="90"/>
      <x:c r="J58" s="90"/>
    </x:row>
    <x:row r="59" ht="20" customHeight="1">
      <x:c r="A59" s="90"/>
      <x:c r="B59" s="118" t="str">
        <x:v>Funded debt includes $919.4m finance lease obligations and adds back $31.0m issuance costs and discounts to reported carrying value. Operating leases remain expensed. Cash access, refinancing and dilution are explicit assumptions; physician minority owners remain in place.</x:v>
      </x:c>
      <x:c r="C59" s="118"/>
      <x:c r="D59" s="118"/>
      <x:c r="E59" s="118"/>
      <x:c r="F59" s="118"/>
      <x:c r="G59" s="118"/>
      <x:c r="H59" s="118"/>
      <x:c r="I59" s="118"/>
      <x:c r="J59" s="118"/>
    </x:row>
    <x:row r="60" ht="20" customHeight="1">
      <x:c r="A60" s="90"/>
      <x:c r="B60" s="118"/>
      <x:c r="C60" s="118"/>
      <x:c r="D60" s="118"/>
      <x:c r="E60" s="118"/>
      <x:c r="F60" s="118"/>
      <x:c r="G60" s="118"/>
      <x:c r="H60" s="118"/>
      <x:c r="I60" s="118"/>
      <x:c r="J60" s="118"/>
    </x:row>
    <x:row r="61" ht="20" customHeight="1">
      <x:c r="A61" s="90"/>
      <x:c r="B61" s="118"/>
      <x:c r="C61" s="118"/>
      <x:c r="D61" s="118"/>
      <x:c r="E61" s="118"/>
      <x:c r="F61" s="118"/>
      <x:c r="G61" s="118"/>
      <x:c r="H61" s="118"/>
      <x:c r="I61" s="118"/>
      <x:c r="J61" s="118"/>
    </x:row>
    <x:row r="62" ht="20" customHeight="1">
      <x:c r="A62" s="90"/>
      <x:c r="B62" s="90"/>
      <x:c r="C62" s="90"/>
      <x:c r="D62" s="90"/>
      <x:c r="E62" s="90"/>
      <x:c r="F62" s="90"/>
      <x:c r="G62" s="90"/>
      <x:c r="H62" s="90"/>
      <x:c r="I62" s="90"/>
      <x:c r="J62" s="90"/>
    </x:row>
    <x:row r="63" ht="20" customHeight="1">
      <x:c r="A63" s="90"/>
      <x:c r="B63" s="90"/>
      <x:c r="C63" s="90"/>
      <x:c r="D63" s="90"/>
      <x:c r="E63" s="90"/>
      <x:c r="F63" s="90"/>
      <x:c r="G63" s="90"/>
      <x:c r="H63" s="90"/>
      <x:c r="I63" s="90"/>
      <x:c r="J63" s="90"/>
    </x:row>
    <x:row r="64" ht="20" customHeight="1">
      <x:c r="A64" s="90"/>
      <x:c r="B64" s="90"/>
      <x:c r="C64" s="90"/>
      <x:c r="D64" s="90"/>
      <x:c r="E64" s="90"/>
      <x:c r="F64" s="90"/>
      <x:c r="G64" s="90"/>
      <x:c r="H64" s="90"/>
      <x:c r="I64" s="90"/>
      <x:c r="J64" s="90"/>
    </x:row>
    <x:row r="65" ht="20" customHeight="1">
      <x:c r="A65" s="90"/>
      <x:c r="B65" s="90"/>
      <x:c r="C65" s="90"/>
      <x:c r="D65" s="90"/>
      <x:c r="E65" s="90"/>
      <x:c r="F65" s="90"/>
      <x:c r="G65" s="90"/>
      <x:c r="H65" s="90"/>
      <x:c r="I65" s="90"/>
      <x:c r="J65" s="90"/>
    </x:row>
    <x:row r="66" ht="20" customHeight="1">
      <x:c r="A66" s="90"/>
      <x:c r="B66" s="90"/>
      <x:c r="C66" s="90"/>
      <x:c r="D66" s="90"/>
      <x:c r="E66" s="90"/>
      <x:c r="F66" s="90"/>
      <x:c r="G66" s="90"/>
      <x:c r="H66" s="90"/>
      <x:c r="I66" s="90"/>
      <x:c r="J66" s="90"/>
    </x:row>
    <x:row r="67" ht="20" customHeight="1">
      <x:c r="A67" s="90"/>
      <x:c r="B67" s="90"/>
      <x:c r="C67" s="90"/>
      <x:c r="D67" s="90"/>
      <x:c r="E67" s="90"/>
      <x:c r="F67" s="90"/>
      <x:c r="G67" s="90"/>
      <x:c r="H67" s="90"/>
      <x:c r="I67" s="90"/>
      <x:c r="J67" s="90"/>
    </x:row>
    <x:row r="68" ht="20" customHeight="1">
      <x:c r="A68" s="90"/>
      <x:c r="B68" s="90"/>
      <x:c r="C68" s="90"/>
      <x:c r="D68" s="90"/>
      <x:c r="E68" s="90"/>
      <x:c r="F68" s="90"/>
      <x:c r="G68" s="90"/>
      <x:c r="H68" s="90"/>
      <x:c r="I68" s="90"/>
      <x:c r="J68" s="90"/>
    </x:row>
    <x:row r="69" ht="20" customHeight="1">
      <x:c r="A69" s="90"/>
      <x:c r="B69" s="90"/>
      <x:c r="C69" s="90"/>
      <x:c r="D69" s="90"/>
      <x:c r="E69" s="90"/>
      <x:c r="F69" s="90"/>
      <x:c r="G69" s="90"/>
      <x:c r="H69" s="90"/>
      <x:c r="I69" s="90"/>
      <x:c r="J69" s="90"/>
    </x:row>
    <x:row r="70" ht="20" customHeight="1">
      <x:c r="A70" s="90"/>
      <x:c r="B70" s="90"/>
      <x:c r="C70" s="90"/>
      <x:c r="D70" s="90"/>
      <x:c r="E70" s="90"/>
      <x:c r="F70" s="90"/>
      <x:c r="G70" s="90"/>
      <x:c r="H70" s="90"/>
      <x:c r="I70" s="90"/>
      <x:c r="J70" s="90"/>
    </x:row>
    <x:row r="71" ht="20" customHeight="1">
      <x:c r="A71" s="90"/>
      <x:c r="B71" s="90"/>
      <x:c r="C71" s="90"/>
      <x:c r="D71" s="90"/>
      <x:c r="E71" s="90"/>
      <x:c r="F71" s="90"/>
      <x:c r="G71" s="90"/>
      <x:c r="H71" s="90"/>
      <x:c r="I71" s="90"/>
      <x:c r="J71" s="90"/>
    </x:row>
    <x:row r="72" ht="20" customHeight="1">
      <x:c r="A72" s="90"/>
      <x:c r="B72" s="90"/>
      <x:c r="C72" s="90"/>
      <x:c r="D72" s="90"/>
      <x:c r="E72" s="90"/>
      <x:c r="F72" s="90"/>
      <x:c r="G72" s="90"/>
      <x:c r="H72" s="90"/>
      <x:c r="I72" s="90"/>
      <x:c r="J72" s="90"/>
    </x:row>
    <x:row r="73" ht="20" customHeight="1">
      <x:c r="A73" s="90"/>
      <x:c r="B73" s="90"/>
      <x:c r="C73" s="90"/>
      <x:c r="D73" s="90"/>
      <x:c r="E73" s="90"/>
      <x:c r="F73" s="90"/>
      <x:c r="G73" s="90"/>
      <x:c r="H73" s="90"/>
      <x:c r="I73" s="90"/>
      <x:c r="J73" s="90"/>
    </x:row>
    <x:row r="74" ht="20" customHeight="1">
      <x:c r="A74" s="90"/>
      <x:c r="B74" s="90"/>
      <x:c r="C74" s="90"/>
      <x:c r="D74" s="90"/>
      <x:c r="E74" s="90"/>
      <x:c r="F74" s="90"/>
      <x:c r="G74" s="90"/>
      <x:c r="H74" s="90"/>
      <x:c r="I74" s="90"/>
      <x:c r="J74" s="90"/>
    </x:row>
    <x:row r="75" ht="20" customHeight="1">
      <x:c r="A75" s="90"/>
      <x:c r="B75" s="90"/>
      <x:c r="C75" s="90"/>
      <x:c r="D75" s="90"/>
      <x:c r="E75" s="90"/>
      <x:c r="F75" s="90"/>
      <x:c r="G75" s="90"/>
      <x:c r="H75" s="90"/>
      <x:c r="I75" s="90"/>
      <x:c r="J75" s="90"/>
    </x:row>
    <x:row r="76" ht="20" customHeight="1">
      <x:c r="A76" s="90"/>
      <x:c r="B76" s="90"/>
      <x:c r="C76" s="90"/>
      <x:c r="D76" s="90"/>
      <x:c r="E76" s="90"/>
      <x:c r="F76" s="90"/>
      <x:c r="G76" s="90"/>
      <x:c r="H76" s="90"/>
      <x:c r="I76" s="90"/>
      <x:c r="J76" s="90"/>
    </x:row>
    <x:row r="77" ht="20" customHeight="1">
      <x:c r="A77" s="90"/>
      <x:c r="B77" s="90"/>
      <x:c r="C77" s="90"/>
      <x:c r="D77" s="90"/>
      <x:c r="E77" s="90"/>
      <x:c r="F77" s="90"/>
      <x:c r="G77" s="90"/>
      <x:c r="H77" s="90"/>
      <x:c r="I77" s="90"/>
      <x:c r="J77" s="90"/>
    </x:row>
    <x:row r="78" ht="20" customHeight="1">
      <x:c r="A78" s="90"/>
      <x:c r="B78" s="90"/>
      <x:c r="C78" s="90"/>
      <x:c r="D78" s="90"/>
      <x:c r="E78" s="90"/>
      <x:c r="F78" s="90"/>
      <x:c r="G78" s="90"/>
      <x:c r="H78" s="90"/>
      <x:c r="I78" s="90"/>
      <x:c r="J78" s="90"/>
    </x:row>
    <x:row r="79" ht="20" customHeight="1">
      <x:c r="A79" s="90"/>
      <x:c r="B79" s="90"/>
      <x:c r="C79" s="90"/>
      <x:c r="D79" s="90"/>
      <x:c r="E79" s="90"/>
      <x:c r="F79" s="90"/>
      <x:c r="G79" s="90"/>
      <x:c r="H79" s="90"/>
      <x:c r="I79" s="90"/>
      <x:c r="J79" s="90"/>
    </x:row>
  </x:sheetData>
  <x:mergeCells>
    <x:mergeCell ref="A1:J1"/>
    <x:mergeCell ref="B2:J3"/>
    <x:mergeCell ref="E5:J5"/>
    <x:mergeCell ref="E6:J6"/>
    <x:mergeCell ref="E7:J7"/>
    <x:mergeCell ref="E8:J8"/>
    <x:mergeCell ref="E9:J9"/>
    <x:mergeCell ref="E10:J10"/>
    <x:mergeCell ref="E11:J11"/>
    <x:mergeCell ref="E12:J12"/>
    <x:mergeCell ref="E13:J13"/>
    <x:mergeCell ref="E14:J14"/>
    <x:mergeCell ref="E15:J15"/>
    <x:mergeCell ref="E16:J16"/>
    <x:mergeCell ref="E17:J17"/>
    <x:mergeCell ref="E18:J18"/>
    <x:mergeCell ref="E19:J19"/>
    <x:mergeCell ref="E20:J20"/>
    <x:mergeCell ref="E21:J21"/>
    <x:mergeCell ref="E22:J22"/>
    <x:mergeCell ref="E23:J23"/>
    <x:mergeCell ref="E24:J24"/>
    <x:mergeCell ref="E25:J25"/>
    <x:mergeCell ref="E26:J26"/>
    <x:mergeCell ref="E27:J27"/>
    <x:mergeCell ref="E28:J28"/>
    <x:mergeCell ref="E29:J29"/>
    <x:mergeCell ref="E30:J30"/>
    <x:mergeCell ref="E31:J31"/>
    <x:mergeCell ref="E32:J32"/>
    <x:mergeCell ref="E33:J33"/>
    <x:mergeCell ref="E34:J34"/>
    <x:mergeCell ref="E35:J35"/>
    <x:mergeCell ref="E36:J36"/>
    <x:mergeCell ref="E37:J37"/>
    <x:mergeCell ref="E38:J38"/>
    <x:mergeCell ref="E39:J39"/>
    <x:mergeCell ref="E40:J40"/>
    <x:mergeCell ref="E41:J41"/>
    <x:mergeCell ref="E42:J42"/>
    <x:mergeCell ref="E43:J43"/>
    <x:mergeCell ref="E44:J44"/>
    <x:mergeCell ref="E45:J45"/>
    <x:mergeCell ref="E46:J46"/>
    <x:mergeCell ref="E47:J47"/>
    <x:mergeCell ref="B59:J61"/>
    <x:mergeCell ref="E48:J48"/>
  </x:mergeCells>
  <x:pageMargins left="0.7" right="0.7" top="0.75" bottom="0.75" header="0.3" footer="0.3"/>
  <x:legacyDrawing xmlns:r="http://schemas.openxmlformats.org/officeDocument/2006/relationships" r:id="R8f5ceab9619e4cd2"/>
</x:worksheet>
</file>